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Таня Р\Проект решения о бюджете на 2025 год и на план период 2026 и 2027 г\ПРОЕКТ РЕШЕНИЕ О БЮДЖЕТЕ район на 2025-2027 гг к отпр с учетом замеч\Таблицы к проекту бюджета 2025-2027\"/>
    </mc:Choice>
  </mc:AlternateContent>
  <bookViews>
    <workbookView xWindow="0" yWindow="0" windowWidth="18795" windowHeight="10080" tabRatio="500"/>
  </bookViews>
  <sheets>
    <sheet name="Форма № 2 Расходы" sheetId="1" r:id="rId1"/>
  </sheets>
  <definedNames>
    <definedName name="_xlnm._FilterDatabase" localSheetId="0">'Форма № 2 Расходы'!$A$4:$V$118</definedName>
    <definedName name="_xlnm.Print_Titles" localSheetId="0">'Форма № 2 Расходы'!$2:$3</definedName>
    <definedName name="_xlnm.Print_Area" localSheetId="0">'Форма № 2 Расходы'!$A$1:$S$120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38" i="1" l="1"/>
  <c r="N38" i="1"/>
  <c r="F86" i="1" l="1"/>
  <c r="F83" i="1"/>
  <c r="F81" i="1"/>
  <c r="F75" i="1"/>
  <c r="F74" i="1"/>
  <c r="F73" i="1"/>
  <c r="F48" i="1"/>
  <c r="F33" i="1"/>
  <c r="F40" i="1"/>
  <c r="F46" i="1"/>
  <c r="F35" i="1"/>
  <c r="F31" i="1"/>
  <c r="F18" i="1" l="1"/>
  <c r="F14" i="1"/>
  <c r="F12" i="1"/>
  <c r="F6" i="1"/>
  <c r="F5" i="1"/>
  <c r="F4" i="1"/>
  <c r="Q14" i="1" l="1"/>
  <c r="Q24" i="1"/>
  <c r="N24" i="1"/>
  <c r="N14" i="1"/>
  <c r="O67" i="1"/>
  <c r="L67" i="1"/>
  <c r="K67" i="1"/>
  <c r="O66" i="1"/>
  <c r="L66" i="1"/>
  <c r="K66" i="1"/>
  <c r="O48" i="1"/>
  <c r="K48" i="1"/>
  <c r="O47" i="1"/>
  <c r="L47" i="1"/>
  <c r="K47" i="1"/>
  <c r="O46" i="1"/>
  <c r="L46" i="1"/>
  <c r="K46" i="1"/>
  <c r="O44" i="1"/>
  <c r="L44" i="1"/>
  <c r="K44" i="1"/>
  <c r="G44" i="1"/>
  <c r="O102" i="1"/>
  <c r="L102" i="1"/>
  <c r="K102" i="1"/>
  <c r="O99" i="1"/>
  <c r="L99" i="1"/>
  <c r="K99" i="1"/>
  <c r="O85" i="1"/>
  <c r="L85" i="1"/>
  <c r="K85" i="1"/>
  <c r="O84" i="1"/>
  <c r="L84" i="1"/>
  <c r="K84" i="1"/>
  <c r="O80" i="1"/>
  <c r="L80" i="1"/>
  <c r="K80" i="1"/>
  <c r="O78" i="1"/>
  <c r="L78" i="1"/>
  <c r="K78" i="1"/>
  <c r="O77" i="1"/>
  <c r="L77" i="1"/>
  <c r="K77" i="1"/>
  <c r="O76" i="1"/>
  <c r="L76" i="1"/>
  <c r="K76" i="1"/>
  <c r="O71" i="1"/>
  <c r="L71" i="1"/>
  <c r="K71" i="1"/>
  <c r="O69" i="1"/>
  <c r="L69" i="1"/>
  <c r="K69" i="1"/>
  <c r="O60" i="1"/>
  <c r="L60" i="1"/>
  <c r="K60" i="1"/>
  <c r="O59" i="1"/>
  <c r="L59" i="1"/>
  <c r="K59" i="1"/>
  <c r="K63" i="1"/>
  <c r="L63" i="1"/>
  <c r="O63" i="1"/>
  <c r="R63" i="1"/>
  <c r="O57" i="1"/>
  <c r="L57" i="1"/>
  <c r="K57" i="1"/>
  <c r="O56" i="1"/>
  <c r="L56" i="1"/>
  <c r="K56" i="1"/>
  <c r="O55" i="1"/>
  <c r="L55" i="1"/>
  <c r="K55" i="1"/>
  <c r="O53" i="1"/>
  <c r="L53" i="1"/>
  <c r="K53" i="1"/>
  <c r="O52" i="1"/>
  <c r="L52" i="1"/>
  <c r="K52" i="1"/>
  <c r="O50" i="1"/>
  <c r="L50" i="1"/>
  <c r="K50" i="1"/>
  <c r="O49" i="1"/>
  <c r="L49" i="1"/>
  <c r="K49" i="1"/>
  <c r="O39" i="1"/>
  <c r="L39" i="1"/>
  <c r="K39" i="1"/>
  <c r="O37" i="1"/>
  <c r="L37" i="1"/>
  <c r="K37" i="1"/>
  <c r="O36" i="1"/>
  <c r="L36" i="1"/>
  <c r="K36" i="1"/>
  <c r="Q4" i="1"/>
  <c r="N4" i="1"/>
  <c r="J4" i="1"/>
  <c r="F100" i="1" l="1"/>
  <c r="F118" i="1"/>
  <c r="L48" i="1"/>
  <c r="F113" i="1"/>
  <c r="F25" i="1"/>
  <c r="F10" i="1"/>
  <c r="F8" i="1"/>
  <c r="F115" i="1" l="1"/>
  <c r="F112" i="1"/>
  <c r="F108" i="1"/>
  <c r="F103" i="1"/>
  <c r="F97" i="1"/>
  <c r="F82" i="1"/>
  <c r="F72" i="1"/>
  <c r="F68" i="1"/>
  <c r="F62" i="1"/>
  <c r="F51" i="1"/>
  <c r="F45" i="1"/>
  <c r="F30" i="1"/>
  <c r="F27" i="1"/>
  <c r="R118" i="1" l="1"/>
  <c r="O118" i="1"/>
  <c r="L118" i="1"/>
  <c r="K118" i="1"/>
  <c r="G118" i="1"/>
  <c r="E118" i="1"/>
  <c r="R117" i="1"/>
  <c r="O117" i="1"/>
  <c r="L117" i="1"/>
  <c r="K117" i="1"/>
  <c r="G117" i="1"/>
  <c r="E117" i="1"/>
  <c r="R116" i="1"/>
  <c r="O116" i="1"/>
  <c r="L116" i="1"/>
  <c r="K116" i="1"/>
  <c r="G116" i="1"/>
  <c r="E116" i="1"/>
  <c r="Q115" i="1"/>
  <c r="N115" i="1"/>
  <c r="J115" i="1"/>
  <c r="D115" i="1"/>
  <c r="C115" i="1"/>
  <c r="G115" i="1" s="1"/>
  <c r="R114" i="1"/>
  <c r="O114" i="1"/>
  <c r="L114" i="1"/>
  <c r="K114" i="1"/>
  <c r="G114" i="1"/>
  <c r="E114" i="1"/>
  <c r="R113" i="1"/>
  <c r="O113" i="1"/>
  <c r="L113" i="1"/>
  <c r="K113" i="1"/>
  <c r="G113" i="1"/>
  <c r="E113" i="1"/>
  <c r="Q112" i="1"/>
  <c r="N112" i="1"/>
  <c r="J112" i="1"/>
  <c r="L112" i="1" s="1"/>
  <c r="D112" i="1"/>
  <c r="C112" i="1"/>
  <c r="G112" i="1" s="1"/>
  <c r="R111" i="1"/>
  <c r="O111" i="1"/>
  <c r="L111" i="1"/>
  <c r="K111" i="1"/>
  <c r="G111" i="1"/>
  <c r="E111" i="1"/>
  <c r="R110" i="1"/>
  <c r="O110" i="1"/>
  <c r="L110" i="1"/>
  <c r="K110" i="1"/>
  <c r="G110" i="1"/>
  <c r="E110" i="1"/>
  <c r="R109" i="1"/>
  <c r="O109" i="1"/>
  <c r="L109" i="1"/>
  <c r="K109" i="1"/>
  <c r="G109" i="1"/>
  <c r="E109" i="1"/>
  <c r="Q108" i="1"/>
  <c r="N108" i="1"/>
  <c r="J108" i="1"/>
  <c r="L108" i="1" s="1"/>
  <c r="D108" i="1"/>
  <c r="C108" i="1"/>
  <c r="G108" i="1" s="1"/>
  <c r="R107" i="1"/>
  <c r="O107" i="1"/>
  <c r="L107" i="1"/>
  <c r="K107" i="1"/>
  <c r="G107" i="1"/>
  <c r="E107" i="1"/>
  <c r="R106" i="1"/>
  <c r="O106" i="1"/>
  <c r="L106" i="1"/>
  <c r="K106" i="1"/>
  <c r="G106" i="1"/>
  <c r="E106" i="1"/>
  <c r="R105" i="1"/>
  <c r="O105" i="1"/>
  <c r="L105" i="1"/>
  <c r="K105" i="1"/>
  <c r="G105" i="1"/>
  <c r="E105" i="1"/>
  <c r="R104" i="1"/>
  <c r="O104" i="1"/>
  <c r="L104" i="1"/>
  <c r="K104" i="1"/>
  <c r="G104" i="1"/>
  <c r="E104" i="1"/>
  <c r="Q103" i="1"/>
  <c r="N103" i="1"/>
  <c r="J103" i="1"/>
  <c r="D103" i="1"/>
  <c r="C103" i="1"/>
  <c r="G103" i="1" s="1"/>
  <c r="R102" i="1"/>
  <c r="G102" i="1"/>
  <c r="E102" i="1"/>
  <c r="R101" i="1"/>
  <c r="O101" i="1"/>
  <c r="L101" i="1"/>
  <c r="K101" i="1"/>
  <c r="G101" i="1"/>
  <c r="E101" i="1"/>
  <c r="R100" i="1"/>
  <c r="O100" i="1"/>
  <c r="L100" i="1"/>
  <c r="K100" i="1"/>
  <c r="G100" i="1"/>
  <c r="E100" i="1"/>
  <c r="R99" i="1"/>
  <c r="G99" i="1"/>
  <c r="E99" i="1"/>
  <c r="R98" i="1"/>
  <c r="O98" i="1"/>
  <c r="L98" i="1"/>
  <c r="K98" i="1"/>
  <c r="G98" i="1"/>
  <c r="E98" i="1"/>
  <c r="Q97" i="1"/>
  <c r="N97" i="1"/>
  <c r="J97" i="1"/>
  <c r="D97" i="1"/>
  <c r="C97" i="1"/>
  <c r="G97" i="1" s="1"/>
  <c r="R96" i="1"/>
  <c r="O96" i="1"/>
  <c r="L96" i="1"/>
  <c r="K96" i="1"/>
  <c r="G96" i="1"/>
  <c r="E96" i="1"/>
  <c r="R95" i="1"/>
  <c r="O95" i="1"/>
  <c r="L95" i="1"/>
  <c r="K95" i="1"/>
  <c r="G95" i="1"/>
  <c r="E95" i="1"/>
  <c r="R94" i="1"/>
  <c r="O94" i="1"/>
  <c r="L94" i="1"/>
  <c r="K94" i="1"/>
  <c r="G94" i="1"/>
  <c r="E94" i="1"/>
  <c r="R93" i="1"/>
  <c r="O93" i="1"/>
  <c r="L93" i="1"/>
  <c r="K93" i="1"/>
  <c r="G93" i="1"/>
  <c r="E93" i="1"/>
  <c r="R92" i="1"/>
  <c r="O92" i="1"/>
  <c r="L92" i="1"/>
  <c r="K92" i="1"/>
  <c r="G92" i="1"/>
  <c r="E92" i="1"/>
  <c r="R91" i="1"/>
  <c r="O91" i="1"/>
  <c r="L91" i="1"/>
  <c r="K91" i="1"/>
  <c r="G91" i="1"/>
  <c r="E91" i="1"/>
  <c r="R90" i="1"/>
  <c r="O90" i="1"/>
  <c r="L90" i="1"/>
  <c r="K90" i="1"/>
  <c r="G90" i="1"/>
  <c r="E90" i="1"/>
  <c r="R89" i="1"/>
  <c r="O89" i="1"/>
  <c r="L89" i="1"/>
  <c r="K89" i="1"/>
  <c r="G89" i="1"/>
  <c r="E89" i="1"/>
  <c r="R88" i="1"/>
  <c r="O88" i="1"/>
  <c r="L88" i="1"/>
  <c r="K88" i="1"/>
  <c r="G88" i="1"/>
  <c r="E88" i="1"/>
  <c r="R87" i="1"/>
  <c r="O87" i="1"/>
  <c r="L87" i="1"/>
  <c r="K87" i="1"/>
  <c r="G87" i="1"/>
  <c r="E87" i="1"/>
  <c r="R86" i="1"/>
  <c r="O86" i="1"/>
  <c r="L86" i="1"/>
  <c r="K86" i="1"/>
  <c r="G86" i="1"/>
  <c r="E86" i="1"/>
  <c r="R85" i="1"/>
  <c r="G85" i="1"/>
  <c r="E85" i="1"/>
  <c r="R84" i="1"/>
  <c r="G84" i="1"/>
  <c r="E84" i="1"/>
  <c r="R83" i="1"/>
  <c r="O83" i="1"/>
  <c r="L83" i="1"/>
  <c r="K83" i="1"/>
  <c r="G83" i="1"/>
  <c r="E83" i="1"/>
  <c r="Q82" i="1"/>
  <c r="N82" i="1"/>
  <c r="J82" i="1"/>
  <c r="L82" i="1" s="1"/>
  <c r="D82" i="1"/>
  <c r="C82" i="1"/>
  <c r="G82" i="1" s="1"/>
  <c r="R81" i="1"/>
  <c r="O81" i="1"/>
  <c r="L81" i="1"/>
  <c r="K81" i="1"/>
  <c r="G81" i="1"/>
  <c r="E81" i="1"/>
  <c r="R80" i="1"/>
  <c r="G80" i="1"/>
  <c r="E80" i="1"/>
  <c r="R79" i="1"/>
  <c r="O79" i="1"/>
  <c r="L79" i="1"/>
  <c r="K79" i="1"/>
  <c r="G79" i="1"/>
  <c r="E79" i="1"/>
  <c r="R78" i="1"/>
  <c r="G78" i="1"/>
  <c r="E78" i="1"/>
  <c r="R77" i="1"/>
  <c r="G77" i="1"/>
  <c r="E77" i="1"/>
  <c r="R76" i="1"/>
  <c r="G76" i="1"/>
  <c r="E76" i="1"/>
  <c r="R75" i="1"/>
  <c r="O75" i="1"/>
  <c r="L75" i="1"/>
  <c r="K75" i="1"/>
  <c r="G75" i="1"/>
  <c r="E75" i="1"/>
  <c r="R74" i="1"/>
  <c r="O74" i="1"/>
  <c r="L74" i="1"/>
  <c r="K74" i="1"/>
  <c r="G74" i="1"/>
  <c r="E74" i="1"/>
  <c r="R73" i="1"/>
  <c r="O73" i="1"/>
  <c r="L73" i="1"/>
  <c r="K73" i="1"/>
  <c r="G73" i="1"/>
  <c r="E73" i="1"/>
  <c r="Q72" i="1"/>
  <c r="N72" i="1"/>
  <c r="J72" i="1"/>
  <c r="D72" i="1"/>
  <c r="C72" i="1"/>
  <c r="R71" i="1"/>
  <c r="G71" i="1"/>
  <c r="E71" i="1"/>
  <c r="R70" i="1"/>
  <c r="O70" i="1"/>
  <c r="L70" i="1"/>
  <c r="K70" i="1"/>
  <c r="G70" i="1"/>
  <c r="E70" i="1"/>
  <c r="R69" i="1"/>
  <c r="G69" i="1"/>
  <c r="E69" i="1"/>
  <c r="Q68" i="1"/>
  <c r="N68" i="1"/>
  <c r="J68" i="1"/>
  <c r="G68" i="1"/>
  <c r="D68" i="1"/>
  <c r="E68" i="1" s="1"/>
  <c r="R67" i="1"/>
  <c r="G67" i="1"/>
  <c r="E67" i="1"/>
  <c r="R66" i="1"/>
  <c r="G66" i="1"/>
  <c r="E66" i="1"/>
  <c r="R65" i="1"/>
  <c r="O65" i="1"/>
  <c r="L65" i="1"/>
  <c r="K65" i="1"/>
  <c r="G65" i="1"/>
  <c r="E65" i="1"/>
  <c r="R64" i="1"/>
  <c r="O64" i="1"/>
  <c r="L64" i="1"/>
  <c r="K64" i="1"/>
  <c r="G64" i="1"/>
  <c r="E64" i="1"/>
  <c r="G63" i="1"/>
  <c r="E63" i="1"/>
  <c r="Q62" i="1"/>
  <c r="N62" i="1"/>
  <c r="J62" i="1"/>
  <c r="D62" i="1"/>
  <c r="C62" i="1"/>
  <c r="R61" i="1"/>
  <c r="O61" i="1"/>
  <c r="L61" i="1"/>
  <c r="K61" i="1"/>
  <c r="G61" i="1"/>
  <c r="E61" i="1"/>
  <c r="R60" i="1"/>
  <c r="G60" i="1"/>
  <c r="E60" i="1"/>
  <c r="R59" i="1"/>
  <c r="G59" i="1"/>
  <c r="E59" i="1"/>
  <c r="R58" i="1"/>
  <c r="O58" i="1"/>
  <c r="L58" i="1"/>
  <c r="K58" i="1"/>
  <c r="G58" i="1"/>
  <c r="E58" i="1"/>
  <c r="R57" i="1"/>
  <c r="G57" i="1"/>
  <c r="E57" i="1"/>
  <c r="R56" i="1"/>
  <c r="G56" i="1"/>
  <c r="E56" i="1"/>
  <c r="R55" i="1"/>
  <c r="G55" i="1"/>
  <c r="E55" i="1"/>
  <c r="R54" i="1"/>
  <c r="O54" i="1"/>
  <c r="L54" i="1"/>
  <c r="K54" i="1"/>
  <c r="G54" i="1"/>
  <c r="E54" i="1"/>
  <c r="R53" i="1"/>
  <c r="G53" i="1"/>
  <c r="E53" i="1"/>
  <c r="R52" i="1"/>
  <c r="G52" i="1"/>
  <c r="E52" i="1"/>
  <c r="Q51" i="1"/>
  <c r="N51" i="1"/>
  <c r="J51" i="1"/>
  <c r="D51" i="1"/>
  <c r="C51" i="1"/>
  <c r="R50" i="1"/>
  <c r="G50" i="1"/>
  <c r="E50" i="1"/>
  <c r="R49" i="1"/>
  <c r="G49" i="1"/>
  <c r="E49" i="1"/>
  <c r="R48" i="1"/>
  <c r="G48" i="1"/>
  <c r="E48" i="1"/>
  <c r="R47" i="1"/>
  <c r="G47" i="1"/>
  <c r="E47" i="1"/>
  <c r="R46" i="1"/>
  <c r="G46" i="1"/>
  <c r="E46" i="1"/>
  <c r="Q45" i="1"/>
  <c r="N45" i="1"/>
  <c r="J45" i="1"/>
  <c r="D45" i="1"/>
  <c r="C45" i="1"/>
  <c r="R44" i="1"/>
  <c r="E44" i="1"/>
  <c r="R43" i="1"/>
  <c r="O43" i="1"/>
  <c r="L43" i="1"/>
  <c r="K43" i="1"/>
  <c r="G43" i="1"/>
  <c r="E43" i="1"/>
  <c r="R42" i="1"/>
  <c r="O42" i="1"/>
  <c r="L42" i="1"/>
  <c r="K42" i="1"/>
  <c r="G42" i="1"/>
  <c r="E42" i="1"/>
  <c r="R41" i="1"/>
  <c r="O41" i="1"/>
  <c r="L41" i="1"/>
  <c r="K41" i="1"/>
  <c r="G41" i="1"/>
  <c r="E41" i="1"/>
  <c r="R40" i="1"/>
  <c r="O40" i="1"/>
  <c r="L40" i="1"/>
  <c r="K40" i="1"/>
  <c r="G40" i="1"/>
  <c r="E40" i="1"/>
  <c r="R39" i="1"/>
  <c r="G39" i="1"/>
  <c r="E39" i="1"/>
  <c r="R38" i="1"/>
  <c r="O38" i="1"/>
  <c r="L38" i="1"/>
  <c r="K38" i="1"/>
  <c r="G38" i="1"/>
  <c r="E38" i="1"/>
  <c r="R37" i="1"/>
  <c r="G37" i="1"/>
  <c r="E37" i="1"/>
  <c r="R36" i="1"/>
  <c r="G36" i="1"/>
  <c r="E36" i="1"/>
  <c r="R35" i="1"/>
  <c r="O35" i="1"/>
  <c r="L35" i="1"/>
  <c r="K35" i="1"/>
  <c r="G35" i="1"/>
  <c r="E35" i="1"/>
  <c r="R34" i="1"/>
  <c r="O34" i="1"/>
  <c r="L34" i="1"/>
  <c r="K34" i="1"/>
  <c r="G34" i="1"/>
  <c r="E34" i="1"/>
  <c r="R33" i="1"/>
  <c r="O33" i="1"/>
  <c r="L33" i="1"/>
  <c r="K33" i="1"/>
  <c r="G33" i="1"/>
  <c r="E33" i="1"/>
  <c r="R32" i="1"/>
  <c r="O32" i="1"/>
  <c r="L32" i="1"/>
  <c r="K32" i="1"/>
  <c r="G32" i="1"/>
  <c r="E32" i="1"/>
  <c r="R31" i="1"/>
  <c r="O31" i="1"/>
  <c r="L31" i="1"/>
  <c r="K31" i="1"/>
  <c r="G31" i="1"/>
  <c r="E31" i="1"/>
  <c r="Q30" i="1"/>
  <c r="N30" i="1"/>
  <c r="J30" i="1"/>
  <c r="D30" i="1"/>
  <c r="C30" i="1"/>
  <c r="R29" i="1"/>
  <c r="O29" i="1"/>
  <c r="L29" i="1"/>
  <c r="K29" i="1"/>
  <c r="R28" i="1"/>
  <c r="O28" i="1"/>
  <c r="L28" i="1"/>
  <c r="K28" i="1"/>
  <c r="G28" i="1"/>
  <c r="E28" i="1"/>
  <c r="D27" i="1"/>
  <c r="C27" i="1"/>
  <c r="R26" i="1"/>
  <c r="O26" i="1"/>
  <c r="L26" i="1"/>
  <c r="K26" i="1"/>
  <c r="G26" i="1"/>
  <c r="E26" i="1"/>
  <c r="R25" i="1"/>
  <c r="O25" i="1"/>
  <c r="L25" i="1"/>
  <c r="K25" i="1"/>
  <c r="G25" i="1"/>
  <c r="E25" i="1"/>
  <c r="R24" i="1"/>
  <c r="O24" i="1"/>
  <c r="L24" i="1"/>
  <c r="K24" i="1"/>
  <c r="G24" i="1"/>
  <c r="E24" i="1"/>
  <c r="R23" i="1"/>
  <c r="O23" i="1"/>
  <c r="L23" i="1"/>
  <c r="K23" i="1"/>
  <c r="G23" i="1"/>
  <c r="E23" i="1"/>
  <c r="R22" i="1"/>
  <c r="O22" i="1"/>
  <c r="L22" i="1"/>
  <c r="K22" i="1"/>
  <c r="G22" i="1"/>
  <c r="E22" i="1"/>
  <c r="R21" i="1"/>
  <c r="O21" i="1"/>
  <c r="L21" i="1"/>
  <c r="K21" i="1"/>
  <c r="G21" i="1"/>
  <c r="E21" i="1"/>
  <c r="R20" i="1"/>
  <c r="O20" i="1"/>
  <c r="L20" i="1"/>
  <c r="K20" i="1"/>
  <c r="G20" i="1"/>
  <c r="E20" i="1"/>
  <c r="R19" i="1"/>
  <c r="O19" i="1"/>
  <c r="L19" i="1"/>
  <c r="K19" i="1"/>
  <c r="G19" i="1"/>
  <c r="E19" i="1"/>
  <c r="R18" i="1"/>
  <c r="O18" i="1"/>
  <c r="L18" i="1"/>
  <c r="K18" i="1"/>
  <c r="G18" i="1"/>
  <c r="E18" i="1"/>
  <c r="R17" i="1"/>
  <c r="O17" i="1"/>
  <c r="L17" i="1"/>
  <c r="K17" i="1"/>
  <c r="G17" i="1"/>
  <c r="E17" i="1"/>
  <c r="R16" i="1"/>
  <c r="O16" i="1"/>
  <c r="L16" i="1"/>
  <c r="K16" i="1"/>
  <c r="G16" i="1"/>
  <c r="E16" i="1"/>
  <c r="R15" i="1"/>
  <c r="O15" i="1"/>
  <c r="L15" i="1"/>
  <c r="K15" i="1"/>
  <c r="G15" i="1"/>
  <c r="E15" i="1"/>
  <c r="R14" i="1"/>
  <c r="K14" i="1"/>
  <c r="G14" i="1"/>
  <c r="E14" i="1"/>
  <c r="R13" i="1"/>
  <c r="O13" i="1"/>
  <c r="L13" i="1"/>
  <c r="K13" i="1"/>
  <c r="G13" i="1"/>
  <c r="E13" i="1"/>
  <c r="R12" i="1"/>
  <c r="O12" i="1"/>
  <c r="L12" i="1"/>
  <c r="K12" i="1"/>
  <c r="G12" i="1"/>
  <c r="E12" i="1"/>
  <c r="R11" i="1"/>
  <c r="O11" i="1"/>
  <c r="L11" i="1"/>
  <c r="K11" i="1"/>
  <c r="G11" i="1"/>
  <c r="E11" i="1"/>
  <c r="R10" i="1"/>
  <c r="O10" i="1"/>
  <c r="L10" i="1"/>
  <c r="K10" i="1"/>
  <c r="G10" i="1"/>
  <c r="E10" i="1"/>
  <c r="R9" i="1"/>
  <c r="O9" i="1"/>
  <c r="L9" i="1"/>
  <c r="K9" i="1"/>
  <c r="G9" i="1"/>
  <c r="E9" i="1"/>
  <c r="R8" i="1"/>
  <c r="O8" i="1"/>
  <c r="L8" i="1"/>
  <c r="K8" i="1"/>
  <c r="G8" i="1"/>
  <c r="E8" i="1"/>
  <c r="R7" i="1"/>
  <c r="O7" i="1"/>
  <c r="L7" i="1"/>
  <c r="K7" i="1"/>
  <c r="G7" i="1"/>
  <c r="E7" i="1"/>
  <c r="R6" i="1"/>
  <c r="O6" i="1"/>
  <c r="L6" i="1"/>
  <c r="K6" i="1"/>
  <c r="G6" i="1"/>
  <c r="E6" i="1"/>
  <c r="R5" i="1"/>
  <c r="O5" i="1"/>
  <c r="L5" i="1"/>
  <c r="K5" i="1"/>
  <c r="G5" i="1"/>
  <c r="E5" i="1"/>
  <c r="Q27" i="1"/>
  <c r="N27" i="1"/>
  <c r="K4" i="1"/>
  <c r="L4" i="1"/>
  <c r="G4" i="1"/>
  <c r="E4" i="1"/>
  <c r="K108" i="1" l="1"/>
  <c r="K115" i="1"/>
  <c r="R108" i="1"/>
  <c r="R115" i="1"/>
  <c r="R112" i="1"/>
  <c r="R97" i="1"/>
  <c r="K82" i="1"/>
  <c r="K72" i="1"/>
  <c r="O72" i="1"/>
  <c r="R51" i="1"/>
  <c r="K103" i="1"/>
  <c r="K97" i="1"/>
  <c r="K68" i="1"/>
  <c r="E51" i="1"/>
  <c r="E45" i="1"/>
  <c r="Q121" i="1"/>
  <c r="R62" i="1"/>
  <c r="R45" i="1"/>
  <c r="R30" i="1"/>
  <c r="R103" i="1"/>
  <c r="R82" i="1"/>
  <c r="R72" i="1"/>
  <c r="R68" i="1"/>
  <c r="O115" i="1"/>
  <c r="O112" i="1"/>
  <c r="K112" i="1"/>
  <c r="O108" i="1"/>
  <c r="O103" i="1"/>
  <c r="O97" i="1"/>
  <c r="O82" i="1"/>
  <c r="O68" i="1"/>
  <c r="J121" i="1"/>
  <c r="L115" i="1"/>
  <c r="L103" i="1"/>
  <c r="L97" i="1"/>
  <c r="L72" i="1"/>
  <c r="L68" i="1"/>
  <c r="D121" i="1"/>
  <c r="G62" i="1"/>
  <c r="E62" i="1"/>
  <c r="K62" i="1"/>
  <c r="K51" i="1"/>
  <c r="G51" i="1"/>
  <c r="G45" i="1"/>
  <c r="K45" i="1"/>
  <c r="G30" i="1"/>
  <c r="C121" i="1"/>
  <c r="G27" i="1"/>
  <c r="E27" i="1"/>
  <c r="R27" i="1"/>
  <c r="L14" i="1"/>
  <c r="O14" i="1"/>
  <c r="J27" i="1"/>
  <c r="L30" i="1"/>
  <c r="O30" i="1"/>
  <c r="L45" i="1"/>
  <c r="O45" i="1"/>
  <c r="L51" i="1"/>
  <c r="O51" i="1"/>
  <c r="L62" i="1"/>
  <c r="O62" i="1"/>
  <c r="E72" i="1"/>
  <c r="G72" i="1"/>
  <c r="E82" i="1"/>
  <c r="E97" i="1"/>
  <c r="E103" i="1"/>
  <c r="E108" i="1"/>
  <c r="E112" i="1"/>
  <c r="E115" i="1"/>
  <c r="F121" i="1"/>
  <c r="N121" i="1"/>
  <c r="O4" i="1"/>
  <c r="R4" i="1"/>
  <c r="E30" i="1"/>
  <c r="K30" i="1"/>
  <c r="K27" i="1" l="1"/>
  <c r="L27" i="1"/>
  <c r="O27" i="1"/>
</calcChain>
</file>

<file path=xl/sharedStrings.xml><?xml version="1.0" encoding="utf-8"?>
<sst xmlns="http://schemas.openxmlformats.org/spreadsheetml/2006/main" count="239" uniqueCount="236">
  <si>
    <t>Параметры бюджета Торбеевского муниципального района Республики Мордовия по видам расходов, разделам, подразделам</t>
  </si>
  <si>
    <t>Форма № 2</t>
  </si>
  <si>
    <t>тыс. рублей</t>
  </si>
  <si>
    <t>Вид расхода / раздел, подраздел (код формы 487)</t>
  </si>
  <si>
    <t>Наименование расходов</t>
  </si>
  <si>
    <t>Темп уточненного плана к прошлому году, %</t>
  </si>
  <si>
    <t>Исполнение (год) к прошлому году, %</t>
  </si>
  <si>
    <t>Темп роста оценки исполнения бюджета субъекта РФ 2017 г. к уточненный бюджет субъекта РФ  на 2017 год, %</t>
  </si>
  <si>
    <t>Примечания*</t>
  </si>
  <si>
    <t>Темп роста показателей на 2024 год к оценке 2023 года, %</t>
  </si>
  <si>
    <t>Параметры бюджета 
на 2025 год</t>
  </si>
  <si>
    <t>Параметры бюджета 
на 2026 год</t>
  </si>
  <si>
    <t>Темп роста показателей на 2026 год к уровню 2025 года, %</t>
  </si>
  <si>
    <t>111+119+121+129 + 131+139+141+149+
13101+13201+13301+13401+
13501+13601+14101+14201+
14301+14401+14501+14601</t>
  </si>
  <si>
    <t>Общий объём фонда оплаты труда и взносы по обязательному социальному страхованию на выплаты по оплате труда работников и иные выплаты работникам, в т.ч.</t>
  </si>
  <si>
    <t>121+129</t>
  </si>
  <si>
    <t>государственных (муниципальных) органов</t>
  </si>
  <si>
    <t>13101+13201+13301+13401+
13501+13601+14101+14201+
14301+14401+14501+14601</t>
  </si>
  <si>
    <t>работников автономных и бюджетных учреждений</t>
  </si>
  <si>
    <t>Стипендии</t>
  </si>
  <si>
    <t>310+320</t>
  </si>
  <si>
    <t>Социальные выплаты гражданам, в т.ч.</t>
  </si>
  <si>
    <t>06001</t>
  </si>
  <si>
    <t>Расходы на обязательное медицинское страхование неработающего населения</t>
  </si>
  <si>
    <t>720,730</t>
  </si>
  <si>
    <t>Расходы на обслуживание гос. долга (муниципального долга)</t>
  </si>
  <si>
    <t>112+113+122+123+133+134+142</t>
  </si>
  <si>
    <t>Иные выплаты</t>
  </si>
  <si>
    <t>241+242+244+245+247</t>
  </si>
  <si>
    <t>Иные закупки товаров, работ и услуг для обеспечения государственных (муниципальных) нужд 
(за исключением закупки товаров, работ, услуг в целях капитального ремонта государственного (муниципального) имущества)</t>
  </si>
  <si>
    <t>330</t>
  </si>
  <si>
    <t>Публичные нормативные выплаты гражданам несоциального характера</t>
  </si>
  <si>
    <t xml:space="preserve">610+620-13101-13201-13301-13401-
13501-13601-14101-14201-
14301-14401-14501-14601
</t>
  </si>
  <si>
    <t>Субсидии бюджетным и автономным учреждениям за исключением расходов на фонд оплаты труда и взносы по обязательному социальному страхованию на выплаты по оплате труда работников и иные выплаты работникам учреждений</t>
  </si>
  <si>
    <t>Субсидии некоммерческим организациям (за исключением государственных (муниципальных)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</si>
  <si>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</si>
  <si>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</si>
  <si>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</si>
  <si>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Капитальные вложения в объекты недвижимого имущества государственной (муниципальной) собственности</t>
  </si>
  <si>
    <t>Закупка товаров, работ, услуг в целях капитального ремонта государственного (муниципального) имущества</t>
  </si>
  <si>
    <t>Премии и гранты</t>
  </si>
  <si>
    <t>Субсидии государственным корпорациям (компаниям)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</si>
  <si>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бененфициара к принципалу</t>
  </si>
  <si>
    <t>Резервные средства</t>
  </si>
  <si>
    <t>Межбюджетные трансферты</t>
  </si>
  <si>
    <t>360+880</t>
  </si>
  <si>
    <t>Другие расходы</t>
  </si>
  <si>
    <t>Итого</t>
  </si>
  <si>
    <t xml:space="preserve">Дефицит (-) / Профицит (+) </t>
  </si>
  <si>
    <t>Код</t>
  </si>
  <si>
    <t>Наименование раздела, подраздела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</si>
  <si>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</si>
  <si>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</si>
  <si>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</si>
  <si>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</si>
  <si>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</si>
  <si>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</si>
  <si>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</si>
  <si>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</si>
  <si>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</si>
  <si>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</si>
  <si>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</si>
  <si>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</si>
  <si>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</si>
  <si>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</si>
  <si>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0108</t>
  </si>
  <si>
    <t>Международные отношения и международное сотрудничество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</si>
  <si>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</si>
  <si>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</si>
  <si>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</si>
  <si>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</si>
  <si>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</si>
  <si>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</si>
  <si>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</si>
  <si>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</si>
  <si>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</si>
  <si>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</si>
  <si>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0204</t>
  </si>
  <si>
    <t>Мобилизационная подготовка экономики</t>
  </si>
  <si>
    <t>0209</t>
  </si>
  <si>
    <t>Другие вопросы в области национальной обороны</t>
  </si>
  <si>
    <t>0300</t>
  </si>
  <si>
    <t>НАЦИОНАЛЬНАЯ БЕЗОПАСНОСТЬ И ПРАВООХРАНИТЕЛЬНАЯ ДЕЯТЕЛЬНОСТЬ</t>
  </si>
  <si>
    <t>0304</t>
  </si>
  <si>
    <t>Органы юстиции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</si>
  <si>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</si>
  <si>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</si>
  <si>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0310</t>
  </si>
  <si>
    <t>Обеспечение пожарной безопасности</t>
  </si>
  <si>
    <t>0311</t>
  </si>
  <si>
    <t>Миграционная политика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</si>
  <si>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</si>
  <si>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</si>
  <si>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</si>
  <si>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</si>
  <si>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0401</t>
  </si>
  <si>
    <t>Общеэкономические вопросы</t>
  </si>
  <si>
    <t>0404</t>
  </si>
  <si>
    <t>Воспроизводство минерально-сырьевой базы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</si>
  <si>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</si>
  <si>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</si>
  <si>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</si>
  <si>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</si>
  <si>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</si>
  <si>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</si>
  <si>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</si>
  <si>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</si>
  <si>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</si>
  <si>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</si>
  <si>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</si>
  <si>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</si>
  <si>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</si>
  <si>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</si>
  <si>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</si>
  <si>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</si>
  <si>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</si>
  <si>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</si>
  <si>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</si>
  <si>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</si>
  <si>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</si>
  <si>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</si>
  <si>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</si>
  <si>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</si>
  <si>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0504</t>
  </si>
  <si>
    <t>Прикладные научные исследования в области жилищно-коммунального хозяйства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</si>
  <si>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</si>
  <si>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</si>
  <si>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</si>
  <si>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</si>
  <si>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0601</t>
  </si>
  <si>
    <t>Экологический контроль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</si>
  <si>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</si>
  <si>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</si>
  <si>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</si>
  <si>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</si>
  <si>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</si>
  <si>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</si>
  <si>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</si>
  <si>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</si>
  <si>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</si>
  <si>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</si>
  <si>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</si>
  <si>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</si>
  <si>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0704</t>
  </si>
  <si>
    <t>Среднее профессиональное образование</t>
  </si>
  <si>
    <t>0705</t>
  </si>
  <si>
    <t>Профессиональная подготовка, переподготовка и повышение квалификации</t>
  </si>
  <si>
    <t>0706</t>
  </si>
  <si>
    <t>Высшее образование</t>
  </si>
  <si>
    <t>0707</t>
  </si>
  <si>
    <t>Молодежная политика</t>
  </si>
  <si>
    <t>0708</t>
  </si>
  <si>
    <t>Прикладные научные исследования в области образования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</si>
  <si>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</si>
  <si>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</si>
  <si>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</si>
  <si>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</si>
  <si>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</si>
  <si>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</si>
  <si>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</si>
  <si>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</si>
  <si>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0803</t>
  </si>
  <si>
    <t>Прикладные научные исследования в области культуры, кинематографии</t>
  </si>
  <si>
    <t>0804</t>
  </si>
  <si>
    <t>Другие вопросы в области культуры, кинематографии</t>
  </si>
  <si>
    <t>0900</t>
  </si>
  <si>
    <t>ЗДРАВООХРАНЕНИЕ</t>
  </si>
  <si>
    <t>0901</t>
  </si>
  <si>
    <t>Стационарная медицинская помощь</t>
  </si>
  <si>
    <t>0902</t>
  </si>
  <si>
    <t>Амбулаторная помощь</t>
  </si>
  <si>
    <t>0903</t>
  </si>
  <si>
    <t>Медицинская помощь в дневных стационарах всех типов</t>
  </si>
  <si>
    <t>0904</t>
  </si>
  <si>
    <t>Скорая медицинская помощь</t>
  </si>
  <si>
    <t>0905</t>
  </si>
  <si>
    <t>Санаторно-оздоровительная помощь</t>
  </si>
  <si>
    <t>0906</t>
  </si>
  <si>
    <t>Заготовка, переработка, хранение и обеспечение безопасности донорской крови и ее компонентов</t>
  </si>
  <si>
    <t>0907</t>
  </si>
  <si>
    <t>Санитарно-эпидемиологическое благополучие</t>
  </si>
  <si>
    <t>0908</t>
  </si>
  <si>
    <t>Прикладные научные исследования в области здравоохранения</t>
  </si>
  <si>
    <t>0909</t>
  </si>
  <si>
    <t>Другие вопросы в области здравоохранения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</si>
  <si>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</si>
  <si>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</si>
  <si>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</si>
  <si>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</si>
  <si>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</si>
  <si>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</si>
  <si>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</si>
  <si>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</si>
  <si>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</si>
  <si>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</si>
  <si>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</si>
  <si>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</si>
  <si>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</si>
  <si>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</si>
  <si>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</si>
  <si>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</si>
  <si>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</si>
  <si>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</si>
  <si>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</si>
  <si>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</si>
  <si>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</si>
  <si>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</si>
  <si>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</si>
  <si>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</si>
  <si>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</si>
  <si>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</si>
  <si>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</si>
  <si>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</si>
  <si>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</si>
  <si>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</si>
  <si>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</si>
  <si>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</si>
  <si>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</si>
  <si>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долга</t>
  </si>
  <si>
    <t>1302</t>
  </si>
  <si>
    <t>Обслуживание государственного внешнего долга</t>
  </si>
  <si>
    <t>1400</t>
  </si>
  <si>
    <t>МЕЖБЮДЖЕТНЫЕ ТРАНСФЕРТЫ ОБЩЕГО ХАРАКТЕРА БЮДЖЕТАМ БЮДЖЕТНОЙ СИСТЕМЫ РОССИЙСКОЙ ФЕДЕРАЦИИ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</si>
  <si>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</si>
  <si>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</si>
  <si>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1402</t>
  </si>
  <si>
    <t>Иные дотации</t>
  </si>
  <si>
    <t>1403</t>
  </si>
  <si>
    <t xml:space="preserve">Прочие межбюджетные трансферты </t>
  </si>
  <si>
    <t>Исполнение бюджета  за 2023 год</t>
  </si>
  <si>
    <t>Уточненный бюджет на 2024 год по состоянию на 01 октября 2024 года</t>
  </si>
  <si>
    <t>Оценка исполнения бюджета  в 2024 году</t>
  </si>
  <si>
    <t>Темп роста показателей на 2025 год к уточненному бюджету 2024 года, %</t>
  </si>
  <si>
    <t>Параметры бюджета 
на 2027 год</t>
  </si>
  <si>
    <t>Темп роста показателей на 2027 год к уровню 2026 года, %</t>
  </si>
  <si>
    <t>* Примечания указываются в случае наличия отклонения ожидаемой оценки от уточненного плана на 2024 год, при значительных отклонениях соответствующего года от предыдущего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</si>
</sst>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#,##0.0"/>
  </numFmts>
  <fonts count="24"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Arial Cyr"/>
      <family val="2"/>
      <charset val="1"/>
    </font>
    <font>
      <b/>
      <sz val="12"/>
      <color rgb="FF000000"/>
      <name val="Arial Cyr"/>
      <family val="2"/>
      <charset val="1"/>
    </font>
    <font>
      <b/>
      <sz val="10"/>
      <color rgb="FF000000"/>
      <name val="Arial Cyr"/>
      <family val="2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2" fillId="2" borderId="0"/>
    <xf numFmtId="0" fontId="2" fillId="0" borderId="0">
      <alignment horizontal="left" vertical="top" wrapText="1"/>
    </xf>
    <xf numFmtId="0" fontId="2" fillId="0" borderId="0"/>
    <xf numFmtId="0" fontId="3" fillId="0" borderId="0">
      <alignment horizontal="center" wrapText="1"/>
    </xf>
    <xf numFmtId="0" fontId="3" fillId="0" borderId="0">
      <alignment horizontal="center"/>
    </xf>
    <xf numFmtId="0" fontId="2" fillId="0" borderId="0">
      <alignment wrapText="1"/>
    </xf>
    <xf numFmtId="0" fontId="2" fillId="0" borderId="0">
      <alignment horizontal="right"/>
    </xf>
    <xf numFmtId="0" fontId="2" fillId="2" borderId="1"/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0" fontId="2" fillId="2" borderId="4"/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2" borderId="5"/>
    <xf numFmtId="0" fontId="2" fillId="0" borderId="4"/>
    <xf numFmtId="0" fontId="2" fillId="0" borderId="0">
      <alignment horizontal="left" wrapText="1"/>
    </xf>
    <xf numFmtId="49" fontId="2" fillId="0" borderId="2">
      <alignment horizontal="left" vertical="top" wrapText="1"/>
    </xf>
    <xf numFmtId="4" fontId="2" fillId="4" borderId="2">
      <alignment horizontal="right" vertical="top" shrinkToFit="1"/>
    </xf>
    <xf numFmtId="0" fontId="2" fillId="2" borderId="5">
      <alignment horizontal="center"/>
    </xf>
    <xf numFmtId="0" fontId="2" fillId="2" borderId="0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2" borderId="0">
      <alignment horizontal="left"/>
    </xf>
    <xf numFmtId="4" fontId="2" fillId="0" borderId="3">
      <alignment horizontal="right" shrinkToFit="1"/>
    </xf>
    <xf numFmtId="4" fontId="2" fillId="0" borderId="0">
      <alignment horizontal="right" shrinkToFit="1"/>
    </xf>
    <xf numFmtId="0" fontId="2" fillId="2" borderId="4">
      <alignment horizontal="center"/>
    </xf>
    <xf numFmtId="0" fontId="5" fillId="0" borderId="0"/>
    <xf numFmtId="0" fontId="6" fillId="0" borderId="0">
      <alignment vertical="top" wrapText="1"/>
    </xf>
    <xf numFmtId="0" fontId="6" fillId="0" borderId="0">
      <alignment vertical="top" wrapText="1"/>
    </xf>
    <xf numFmtId="0" fontId="1" fillId="0" borderId="0"/>
    <xf numFmtId="0" fontId="7" fillId="0" borderId="0"/>
    <xf numFmtId="0" fontId="5" fillId="0" borderId="0"/>
    <xf numFmtId="0" fontId="23" fillId="0" borderId="0"/>
    <xf numFmtId="0" fontId="5" fillId="0" borderId="0"/>
    <xf numFmtId="9" fontId="23" fillId="0" borderId="0" applyBorder="0" applyProtection="0"/>
    <xf numFmtId="9" fontId="23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164" fontId="23" fillId="0" borderId="0" applyBorder="0" applyProtection="0"/>
  </cellStyleXfs>
  <cellXfs count="92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9" fillId="5" borderId="0" xfId="0" applyFont="1" applyFill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3" fontId="15" fillId="0" borderId="2" xfId="39" applyNumberFormat="1" applyFont="1" applyBorder="1" applyAlignment="1" applyProtection="1">
      <alignment horizontal="center" vertical="center" wrapText="1"/>
      <protection locked="0"/>
    </xf>
    <xf numFmtId="3" fontId="16" fillId="0" borderId="2" xfId="39" applyNumberFormat="1" applyFont="1" applyBorder="1" applyAlignment="1" applyProtection="1">
      <alignment horizontal="center" vertical="center" wrapText="1"/>
      <protection locked="0"/>
    </xf>
    <xf numFmtId="3" fontId="16" fillId="5" borderId="2" xfId="39" applyNumberFormat="1" applyFont="1" applyFill="1" applyBorder="1" applyAlignment="1" applyProtection="1">
      <alignment horizontal="center" vertical="center" wrapText="1"/>
      <protection locked="0"/>
    </xf>
    <xf numFmtId="3" fontId="16" fillId="0" borderId="6" xfId="39" applyNumberFormat="1" applyFont="1" applyBorder="1" applyAlignment="1" applyProtection="1">
      <alignment horizontal="center" vertical="center" wrapText="1"/>
      <protection locked="0"/>
    </xf>
    <xf numFmtId="3" fontId="16" fillId="5" borderId="6" xfId="39" applyNumberFormat="1" applyFont="1" applyFill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 applyProtection="1">
      <alignment horizontal="justify" vertical="center" wrapText="1"/>
      <protection locked="0"/>
    </xf>
    <xf numFmtId="165" fontId="18" fillId="0" borderId="2" xfId="0" applyNumberFormat="1" applyFont="1" applyBorder="1" applyAlignment="1" applyProtection="1">
      <alignment horizontal="center" vertical="center" wrapText="1"/>
      <protection locked="0"/>
    </xf>
    <xf numFmtId="165" fontId="18" fillId="0" borderId="2" xfId="39" applyNumberFormat="1" applyFont="1" applyBorder="1" applyAlignment="1" applyProtection="1">
      <alignment horizontal="center" vertical="center" wrapText="1"/>
      <protection locked="0"/>
    </xf>
    <xf numFmtId="3" fontId="16" fillId="0" borderId="2" xfId="39" applyNumberFormat="1" applyFont="1" applyBorder="1" applyAlignment="1" applyProtection="1">
      <alignment vertical="center" wrapText="1"/>
      <protection locked="0"/>
    </xf>
    <xf numFmtId="165" fontId="18" fillId="0" borderId="2" xfId="39" applyNumberFormat="1" applyFont="1" applyBorder="1" applyAlignment="1" applyProtection="1">
      <alignment vertical="center" wrapText="1"/>
      <protection locked="0"/>
    </xf>
    <xf numFmtId="3" fontId="18" fillId="0" borderId="2" xfId="39" applyNumberFormat="1" applyFont="1" applyBorder="1" applyAlignment="1" applyProtection="1">
      <alignment horizontal="left" vertical="center" wrapText="1"/>
      <protection locked="0"/>
    </xf>
    <xf numFmtId="165" fontId="16" fillId="0" borderId="2" xfId="39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165" fontId="18" fillId="0" borderId="8" xfId="39" applyNumberFormat="1" applyFont="1" applyBorder="1" applyAlignment="1" applyProtection="1">
      <alignment vertical="center" wrapText="1"/>
      <protection locked="0"/>
    </xf>
    <xf numFmtId="165" fontId="18" fillId="0" borderId="2" xfId="39" applyNumberFormat="1" applyFont="1" applyBorder="1" applyAlignment="1" applyProtection="1">
      <alignment horizontal="left" vertical="center" wrapText="1"/>
      <protection locked="0"/>
    </xf>
    <xf numFmtId="3" fontId="16" fillId="0" borderId="8" xfId="39" applyNumberFormat="1" applyFont="1" applyBorder="1" applyAlignment="1" applyProtection="1">
      <alignment vertical="center" wrapText="1"/>
      <protection locked="0"/>
    </xf>
    <xf numFmtId="3" fontId="16" fillId="0" borderId="2" xfId="39" applyNumberFormat="1" applyFont="1" applyBorder="1" applyAlignment="1" applyProtection="1">
      <alignment horizontal="left" vertical="center" wrapText="1"/>
      <protection locked="0"/>
    </xf>
    <xf numFmtId="49" fontId="17" fillId="0" borderId="2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 wrapText="1"/>
    </xf>
    <xf numFmtId="165" fontId="16" fillId="0" borderId="2" xfId="39" applyNumberFormat="1" applyFont="1" applyBorder="1" applyAlignment="1" applyProtection="1">
      <alignment horizontal="left" vertical="center" wrapText="1"/>
      <protection locked="0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justify" vertical="center" wrapText="1"/>
    </xf>
    <xf numFmtId="165" fontId="20" fillId="6" borderId="2" xfId="0" applyNumberFormat="1" applyFont="1" applyFill="1" applyBorder="1"/>
    <xf numFmtId="165" fontId="18" fillId="6" borderId="2" xfId="39" applyNumberFormat="1" applyFont="1" applyFill="1" applyBorder="1" applyAlignment="1" applyProtection="1">
      <alignment horizontal="center" vertical="center" wrapText="1"/>
      <protection locked="0"/>
    </xf>
    <xf numFmtId="3" fontId="20" fillId="6" borderId="2" xfId="39" applyNumberFormat="1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/>
    <xf numFmtId="165" fontId="14" fillId="6" borderId="2" xfId="0" applyNumberFormat="1" applyFont="1" applyFill="1" applyBorder="1"/>
    <xf numFmtId="0" fontId="14" fillId="6" borderId="0" xfId="0" applyFont="1" applyFill="1"/>
    <xf numFmtId="0" fontId="20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justify" vertical="center" wrapText="1"/>
    </xf>
    <xf numFmtId="0" fontId="20" fillId="6" borderId="2" xfId="0" applyFont="1" applyFill="1" applyBorder="1"/>
    <xf numFmtId="0" fontId="20" fillId="6" borderId="0" xfId="0" applyFont="1" applyFill="1"/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justify" vertical="center" wrapText="1"/>
    </xf>
    <xf numFmtId="165" fontId="21" fillId="0" borderId="2" xfId="0" applyNumberFormat="1" applyFont="1" applyBorder="1" applyAlignment="1">
      <alignment horizontal="justify" vertical="center" wrapText="1"/>
    </xf>
    <xf numFmtId="165" fontId="21" fillId="0" borderId="2" xfId="0" applyNumberFormat="1" applyFont="1" applyBorder="1"/>
    <xf numFmtId="3" fontId="20" fillId="0" borderId="2" xfId="39" applyNumberFormat="1" applyFont="1" applyBorder="1" applyAlignment="1" applyProtection="1">
      <alignment horizontal="center" vertical="center" wrapText="1"/>
      <protection locked="0"/>
    </xf>
    <xf numFmtId="0" fontId="21" fillId="0" borderId="2" xfId="0" applyFont="1" applyBorder="1"/>
    <xf numFmtId="0" fontId="22" fillId="0" borderId="0" xfId="0" applyFont="1"/>
    <xf numFmtId="3" fontId="22" fillId="0" borderId="0" xfId="0" applyNumberFormat="1" applyFont="1"/>
    <xf numFmtId="49" fontId="21" fillId="6" borderId="2" xfId="0" applyNumberFormat="1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justify" vertical="center" wrapText="1"/>
    </xf>
    <xf numFmtId="165" fontId="21" fillId="6" borderId="2" xfId="0" applyNumberFormat="1" applyFont="1" applyFill="1" applyBorder="1" applyAlignment="1" applyProtection="1">
      <alignment horizontal="right" vertical="center" wrapText="1"/>
    </xf>
    <xf numFmtId="0" fontId="21" fillId="6" borderId="2" xfId="0" applyFont="1" applyFill="1" applyBorder="1"/>
    <xf numFmtId="3" fontId="20" fillId="6" borderId="8" xfId="39" applyNumberFormat="1" applyFont="1" applyFill="1" applyBorder="1" applyAlignment="1" applyProtection="1">
      <alignment vertical="center" wrapText="1"/>
      <protection locked="0"/>
    </xf>
    <xf numFmtId="165" fontId="20" fillId="6" borderId="8" xfId="39" applyNumberFormat="1" applyFont="1" applyFill="1" applyBorder="1" applyAlignment="1" applyProtection="1">
      <alignment vertical="center" wrapText="1"/>
      <protection locked="0"/>
    </xf>
    <xf numFmtId="0" fontId="22" fillId="6" borderId="0" xfId="0" applyFont="1" applyFill="1"/>
    <xf numFmtId="49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justify" vertical="center" wrapText="1"/>
    </xf>
    <xf numFmtId="165" fontId="18" fillId="0" borderId="2" xfId="0" applyNumberFormat="1" applyFont="1" applyBorder="1" applyAlignment="1" applyProtection="1">
      <alignment horizontal="right" vertical="center" wrapText="1"/>
    </xf>
    <xf numFmtId="0" fontId="18" fillId="0" borderId="2" xfId="0" applyFont="1" applyBorder="1"/>
    <xf numFmtId="165" fontId="16" fillId="0" borderId="8" xfId="39" applyNumberFormat="1" applyFont="1" applyBorder="1" applyAlignment="1" applyProtection="1">
      <alignment vertical="center" wrapText="1"/>
      <protection locked="0"/>
    </xf>
    <xf numFmtId="3" fontId="18" fillId="0" borderId="8" xfId="39" applyNumberFormat="1" applyFont="1" applyBorder="1" applyAlignment="1" applyProtection="1">
      <alignment vertical="center" wrapText="1"/>
      <protection locked="0"/>
    </xf>
    <xf numFmtId="165" fontId="18" fillId="0" borderId="2" xfId="0" applyNumberFormat="1" applyFont="1" applyBorder="1" applyAlignment="1" applyProtection="1">
      <alignment horizontal="right"/>
    </xf>
    <xf numFmtId="0" fontId="18" fillId="0" borderId="2" xfId="0" applyFont="1" applyBorder="1" applyAlignment="1">
      <alignment wrapText="1"/>
    </xf>
    <xf numFmtId="165" fontId="18" fillId="0" borderId="2" xfId="0" applyNumberFormat="1" applyFont="1" applyBorder="1" applyAlignment="1">
      <alignment wrapText="1"/>
    </xf>
    <xf numFmtId="165" fontId="18" fillId="0" borderId="2" xfId="0" applyNumberFormat="1" applyFont="1" applyBorder="1" applyAlignment="1" applyProtection="1">
      <alignment vertical="center" wrapText="1"/>
    </xf>
    <xf numFmtId="0" fontId="18" fillId="0" borderId="2" xfId="0" applyFont="1" applyBorder="1" applyAlignment="1">
      <alignment vertical="center" wrapText="1"/>
    </xf>
    <xf numFmtId="165" fontId="21" fillId="6" borderId="8" xfId="39" applyNumberFormat="1" applyFont="1" applyFill="1" applyBorder="1" applyAlignment="1" applyProtection="1">
      <alignment vertical="center" wrapText="1"/>
      <protection locked="0"/>
    </xf>
    <xf numFmtId="3" fontId="21" fillId="6" borderId="2" xfId="39" applyNumberFormat="1" applyFont="1" applyFill="1" applyBorder="1" applyAlignment="1" applyProtection="1">
      <alignment horizontal="center" vertical="center" wrapText="1"/>
      <protection locked="0"/>
    </xf>
    <xf numFmtId="3" fontId="21" fillId="6" borderId="8" xfId="39" applyNumberFormat="1" applyFont="1" applyFill="1" applyBorder="1" applyAlignment="1" applyProtection="1">
      <alignment vertical="center" wrapText="1"/>
      <protection locked="0"/>
    </xf>
    <xf numFmtId="165" fontId="21" fillId="6" borderId="2" xfId="39" applyNumberFormat="1" applyFont="1" applyFill="1" applyBorder="1" applyAlignment="1" applyProtection="1">
      <alignment horizontal="center" vertical="center" wrapText="1"/>
      <protection locked="0"/>
    </xf>
    <xf numFmtId="165" fontId="18" fillId="0" borderId="2" xfId="39" applyNumberFormat="1" applyFont="1" applyBorder="1" applyAlignment="1" applyProtection="1">
      <alignment horizontal="right" vertical="center" wrapText="1"/>
      <protection locked="0"/>
    </xf>
    <xf numFmtId="3" fontId="18" fillId="6" borderId="2" xfId="39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 wrapText="1"/>
    </xf>
    <xf numFmtId="0" fontId="19" fillId="0" borderId="0" xfId="0" applyFont="1" applyBorder="1" applyAlignment="1">
      <alignment wrapText="1"/>
    </xf>
    <xf numFmtId="165" fontId="9" fillId="0" borderId="0" xfId="0" applyNumberFormat="1" applyFont="1"/>
    <xf numFmtId="165" fontId="0" fillId="0" borderId="0" xfId="0" applyNumberFormat="1"/>
    <xf numFmtId="165" fontId="9" fillId="5" borderId="0" xfId="0" applyNumberFormat="1" applyFont="1" applyFill="1"/>
    <xf numFmtId="3" fontId="9" fillId="5" borderId="0" xfId="0" applyNumberFormat="1" applyFont="1" applyFill="1"/>
    <xf numFmtId="165" fontId="19" fillId="0" borderId="7" xfId="0" applyNumberFormat="1" applyFont="1" applyBorder="1" applyAlignment="1" applyProtection="1">
      <alignment horizontal="right" vertical="center" wrapTex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</cellXfs>
  <cellStyles count="51">
    <cellStyle name="br" xfId="1"/>
    <cellStyle name="col" xfId="2"/>
    <cellStyle name="Normal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Обычный" xfId="0" builtinId="0"/>
    <cellStyle name="Обычный 10" xfId="34"/>
    <cellStyle name="Обычный 2" xfId="35"/>
    <cellStyle name="Обычный 2 2" xfId="36"/>
    <cellStyle name="Обычный 3" xfId="37"/>
    <cellStyle name="Обычный 3 2" xfId="38"/>
    <cellStyle name="Обычный 4" xfId="39"/>
    <cellStyle name="Обычный 4 2" xfId="40"/>
    <cellStyle name="Обычный 5" xfId="41"/>
    <cellStyle name="Процентный 2" xfId="42"/>
    <cellStyle name="Процентный 3" xfId="43"/>
    <cellStyle name="Стиль 1" xfId="44"/>
    <cellStyle name="Стиль 2" xfId="45"/>
    <cellStyle name="Стиль 3" xfId="46"/>
    <cellStyle name="Стиль 4" xfId="47"/>
    <cellStyle name="Стиль 5" xfId="48"/>
    <cellStyle name="Стиль 6" xfId="49"/>
    <cellStyle name="Финансовый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tabSelected="1" view="pageBreakPreview" zoomScale="80" zoomScaleNormal="80" zoomScalePageLayoutView="80" workbookViewId="0">
      <pane xSplit="2" ySplit="3" topLeftCell="K104" activePane="bottomRight" state="frozen"/>
      <selection pane="topRight" activeCell="C1" sqref="C1"/>
      <selection pane="bottomLeft" activeCell="A4" sqref="A4"/>
      <selection pane="bottomRight" activeCell="Q121" sqref="Q121"/>
    </sheetView>
  </sheetViews>
  <sheetFormatPr defaultRowHeight="15"/>
  <cols>
    <col min="1" max="1" width="14.85546875" style="1" customWidth="1"/>
    <col min="2" max="2" width="65.85546875" style="2" customWidth="1"/>
    <col min="3" max="3" width="15.28515625" style="2" customWidth="1"/>
    <col min="4" max="4" width="17.140625" customWidth="1"/>
    <col min="5" max="5" width="13.5703125" customWidth="1"/>
    <col min="6" max="6" width="19.28515625" customWidth="1"/>
    <col min="7" max="7" width="13.140625" customWidth="1"/>
    <col min="8" max="8" width="15.5703125" style="3" hidden="1" customWidth="1"/>
    <col min="9" max="9" width="7.140625" customWidth="1"/>
    <col min="10" max="10" width="11" style="3" customWidth="1"/>
    <col min="11" max="11" width="13.5703125" style="4" customWidth="1"/>
    <col min="12" max="12" width="12.42578125" customWidth="1"/>
    <col min="13" max="13" width="5.85546875" customWidth="1"/>
    <col min="14" max="14" width="14" style="3" customWidth="1"/>
    <col min="15" max="15" width="12.42578125" style="4" customWidth="1"/>
    <col min="16" max="16" width="7.5703125" customWidth="1"/>
    <col min="17" max="17" width="14" style="3" customWidth="1"/>
    <col min="18" max="18" width="12.42578125" customWidth="1"/>
    <col min="19" max="19" width="11.85546875" customWidth="1"/>
    <col min="20" max="20" width="8.7109375" customWidth="1"/>
    <col min="21" max="23" width="13.42578125" customWidth="1"/>
    <col min="24" max="1025" width="8.7109375" customWidth="1"/>
  </cols>
  <sheetData>
    <row r="1" spans="1:19" ht="33.75" customHeight="1">
      <c r="A1" s="5"/>
      <c r="B1" s="90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6" t="s">
        <v>1</v>
      </c>
    </row>
    <row r="2" spans="1:19" ht="22.5" customHeight="1">
      <c r="A2" s="5"/>
      <c r="B2" s="7"/>
      <c r="C2" s="7"/>
      <c r="D2" s="91"/>
      <c r="E2" s="91"/>
      <c r="F2" s="8"/>
      <c r="G2" s="9"/>
      <c r="H2" s="10"/>
      <c r="I2" s="9"/>
      <c r="J2" s="10"/>
      <c r="K2" s="11"/>
      <c r="L2" s="9"/>
      <c r="M2" s="9"/>
      <c r="N2" s="10"/>
      <c r="O2" s="11"/>
      <c r="P2" s="9"/>
      <c r="Q2" s="10"/>
      <c r="R2" s="9"/>
      <c r="S2" s="6" t="s">
        <v>2</v>
      </c>
    </row>
    <row r="3" spans="1:19" ht="157.5">
      <c r="A3" s="12" t="s">
        <v>3</v>
      </c>
      <c r="B3" s="13" t="s">
        <v>4</v>
      </c>
      <c r="C3" s="14" t="s">
        <v>229</v>
      </c>
      <c r="D3" s="15" t="s">
        <v>230</v>
      </c>
      <c r="E3" s="15" t="s">
        <v>5</v>
      </c>
      <c r="F3" s="15" t="s">
        <v>231</v>
      </c>
      <c r="G3" s="15" t="s">
        <v>6</v>
      </c>
      <c r="H3" s="16" t="s">
        <v>7</v>
      </c>
      <c r="I3" s="15" t="s">
        <v>8</v>
      </c>
      <c r="J3" s="16" t="s">
        <v>10</v>
      </c>
      <c r="K3" s="15" t="s">
        <v>232</v>
      </c>
      <c r="L3" s="17" t="s">
        <v>9</v>
      </c>
      <c r="M3" s="17" t="s">
        <v>8</v>
      </c>
      <c r="N3" s="18" t="s">
        <v>11</v>
      </c>
      <c r="O3" s="17" t="s">
        <v>12</v>
      </c>
      <c r="P3" s="17" t="s">
        <v>8</v>
      </c>
      <c r="Q3" s="18" t="s">
        <v>233</v>
      </c>
      <c r="R3" s="17" t="s">
        <v>234</v>
      </c>
      <c r="S3" s="17" t="s">
        <v>8</v>
      </c>
    </row>
    <row r="4" spans="1:19" s="27" customFormat="1" ht="132">
      <c r="A4" s="19" t="s">
        <v>13</v>
      </c>
      <c r="B4" s="20" t="s">
        <v>14</v>
      </c>
      <c r="C4" s="88">
        <v>306847.22165000002</v>
      </c>
      <c r="D4" s="21">
        <v>355707.90946</v>
      </c>
      <c r="E4" s="22">
        <f t="shared" ref="E4:E28" si="0">SUM(D4/C4)*100</f>
        <v>115.92345778699344</v>
      </c>
      <c r="F4" s="21">
        <f>355707.90946+101.8+820.2-481.527+10.96634+60+400+34778.3</f>
        <v>391397.64879999997</v>
      </c>
      <c r="G4" s="22">
        <f t="shared" ref="G4:G28" si="1">SUM(F4/C4)*100</f>
        <v>127.55456826213043</v>
      </c>
      <c r="H4" s="15"/>
      <c r="I4" s="23"/>
      <c r="J4" s="24">
        <f>268276.2+26724.8+17112.8</f>
        <v>312113.8</v>
      </c>
      <c r="K4" s="22">
        <f t="shared" ref="K4:K35" si="2">SUM(J4/D4)*100</f>
        <v>87.744408178558587</v>
      </c>
      <c r="L4" s="22">
        <f t="shared" ref="L4:L35" si="3">SUM(J4/F4)*100</f>
        <v>79.743401871963414</v>
      </c>
      <c r="M4" s="25"/>
      <c r="N4" s="26">
        <f>257932.9+21619.4+13349.7</f>
        <v>292902</v>
      </c>
      <c r="O4" s="26">
        <f t="shared" ref="O4:O35" si="4">SUM(N4/J4)*100</f>
        <v>93.844616931388487</v>
      </c>
      <c r="P4" s="26"/>
      <c r="Q4" s="26">
        <f>271002.8+21867.6+12405.6</f>
        <v>305275.99999999994</v>
      </c>
      <c r="R4" s="26">
        <f t="shared" ref="R4:R35" si="5">SUM(Q4/N4)*100</f>
        <v>104.22462120436184</v>
      </c>
      <c r="S4" s="15"/>
    </row>
    <row r="5" spans="1:19" s="27" customFormat="1" ht="15.75">
      <c r="A5" s="19" t="s">
        <v>15</v>
      </c>
      <c r="B5" s="20" t="s">
        <v>16</v>
      </c>
      <c r="C5" s="88">
        <v>30649.589090000001</v>
      </c>
      <c r="D5" s="21">
        <v>32102.20507</v>
      </c>
      <c r="E5" s="22">
        <f t="shared" si="0"/>
        <v>104.73943052135057</v>
      </c>
      <c r="F5" s="21">
        <f>32102.20507+8302.3</f>
        <v>40404.505069999999</v>
      </c>
      <c r="G5" s="22">
        <f t="shared" si="1"/>
        <v>131.82723250010136</v>
      </c>
      <c r="H5" s="15"/>
      <c r="I5" s="25"/>
      <c r="J5" s="28">
        <v>26724.799999999999</v>
      </c>
      <c r="K5" s="22">
        <f t="shared" si="2"/>
        <v>83.249109965267564</v>
      </c>
      <c r="L5" s="22">
        <f t="shared" si="3"/>
        <v>66.143119322213735</v>
      </c>
      <c r="M5" s="15"/>
      <c r="N5" s="26">
        <v>21619.4</v>
      </c>
      <c r="O5" s="26">
        <f t="shared" si="4"/>
        <v>80.896395857031678</v>
      </c>
      <c r="P5" s="29"/>
      <c r="Q5" s="26">
        <v>21867.599999999999</v>
      </c>
      <c r="R5" s="26">
        <f t="shared" si="5"/>
        <v>101.14804296141426</v>
      </c>
      <c r="S5" s="15"/>
    </row>
    <row r="6" spans="1:19" s="27" customFormat="1" ht="72">
      <c r="A6" s="19" t="s">
        <v>17</v>
      </c>
      <c r="B6" s="20" t="s">
        <v>18</v>
      </c>
      <c r="C6" s="88">
        <v>260585.28344999999</v>
      </c>
      <c r="D6" s="21">
        <v>307593.22745000001</v>
      </c>
      <c r="E6" s="22">
        <f t="shared" si="0"/>
        <v>118.03937021217843</v>
      </c>
      <c r="F6" s="21">
        <f>307593.22745+19751.8</f>
        <v>327345.02744999999</v>
      </c>
      <c r="G6" s="22">
        <f t="shared" si="1"/>
        <v>125.61915359000292</v>
      </c>
      <c r="H6" s="15"/>
      <c r="I6" s="30"/>
      <c r="J6" s="28">
        <v>268276.2</v>
      </c>
      <c r="K6" s="22">
        <f t="shared" si="2"/>
        <v>87.217850088591092</v>
      </c>
      <c r="L6" s="22">
        <f t="shared" si="3"/>
        <v>81.955178024195774</v>
      </c>
      <c r="M6" s="31"/>
      <c r="N6" s="26">
        <v>257932.9</v>
      </c>
      <c r="O6" s="26">
        <f t="shared" si="4"/>
        <v>96.144533134135628</v>
      </c>
      <c r="P6" s="26"/>
      <c r="Q6" s="26">
        <v>271002.8</v>
      </c>
      <c r="R6" s="26">
        <f t="shared" si="5"/>
        <v>105.0671705703305</v>
      </c>
      <c r="S6" s="15"/>
    </row>
    <row r="7" spans="1:19" s="27" customFormat="1" ht="15.75">
      <c r="A7" s="19">
        <v>340</v>
      </c>
      <c r="B7" s="20" t="s">
        <v>19</v>
      </c>
      <c r="C7" s="88">
        <v>0</v>
      </c>
      <c r="D7" s="21">
        <v>0</v>
      </c>
      <c r="E7" s="22" t="e">
        <f t="shared" si="0"/>
        <v>#DIV/0!</v>
      </c>
      <c r="F7" s="21">
        <v>0</v>
      </c>
      <c r="G7" s="22" t="e">
        <f t="shared" si="1"/>
        <v>#DIV/0!</v>
      </c>
      <c r="H7" s="15"/>
      <c r="I7" s="30"/>
      <c r="J7" s="28">
        <v>0</v>
      </c>
      <c r="K7" s="22" t="e">
        <f t="shared" si="2"/>
        <v>#DIV/0!</v>
      </c>
      <c r="L7" s="22" t="e">
        <f t="shared" si="3"/>
        <v>#DIV/0!</v>
      </c>
      <c r="M7" s="31"/>
      <c r="N7" s="26">
        <v>0</v>
      </c>
      <c r="O7" s="26" t="e">
        <f t="shared" si="4"/>
        <v>#DIV/0!</v>
      </c>
      <c r="P7" s="26"/>
      <c r="Q7" s="26">
        <v>0</v>
      </c>
      <c r="R7" s="26" t="e">
        <f t="shared" si="5"/>
        <v>#DIV/0!</v>
      </c>
      <c r="S7" s="15"/>
    </row>
    <row r="8" spans="1:19" s="27" customFormat="1" ht="15.75">
      <c r="A8" s="32" t="s">
        <v>20</v>
      </c>
      <c r="B8" s="20" t="s">
        <v>21</v>
      </c>
      <c r="C8" s="88">
        <v>5533.3692000000001</v>
      </c>
      <c r="D8" s="21">
        <v>6169.38</v>
      </c>
      <c r="E8" s="22">
        <f t="shared" si="0"/>
        <v>111.49409658043422</v>
      </c>
      <c r="F8" s="21">
        <f>6169.38+35</f>
        <v>6204.38</v>
      </c>
      <c r="G8" s="22">
        <f t="shared" si="1"/>
        <v>112.1266226009282</v>
      </c>
      <c r="H8" s="15"/>
      <c r="I8" s="30"/>
      <c r="J8" s="28">
        <v>6685.7</v>
      </c>
      <c r="K8" s="22">
        <f t="shared" si="2"/>
        <v>108.36907436403658</v>
      </c>
      <c r="L8" s="22">
        <f t="shared" si="3"/>
        <v>107.75774533474738</v>
      </c>
      <c r="M8" s="15"/>
      <c r="N8" s="26">
        <v>6824.1</v>
      </c>
      <c r="O8" s="26">
        <f t="shared" si="4"/>
        <v>102.07008989335449</v>
      </c>
      <c r="P8" s="26"/>
      <c r="Q8" s="26">
        <v>6709.2</v>
      </c>
      <c r="R8" s="26">
        <f t="shared" si="5"/>
        <v>98.316261485030992</v>
      </c>
      <c r="S8" s="15"/>
    </row>
    <row r="9" spans="1:19" s="27" customFormat="1" ht="30">
      <c r="A9" s="19" t="s">
        <v>22</v>
      </c>
      <c r="B9" s="20" t="s">
        <v>23</v>
      </c>
      <c r="C9" s="88"/>
      <c r="D9" s="21">
        <v>0</v>
      </c>
      <c r="E9" s="22" t="e">
        <f t="shared" si="0"/>
        <v>#DIV/0!</v>
      </c>
      <c r="F9" s="21">
        <v>0</v>
      </c>
      <c r="G9" s="22" t="e">
        <f t="shared" si="1"/>
        <v>#DIV/0!</v>
      </c>
      <c r="H9" s="15"/>
      <c r="I9" s="30"/>
      <c r="J9" s="28">
        <v>0</v>
      </c>
      <c r="K9" s="22" t="e">
        <f t="shared" si="2"/>
        <v>#DIV/0!</v>
      </c>
      <c r="L9" s="22" t="e">
        <f t="shared" si="3"/>
        <v>#DIV/0!</v>
      </c>
      <c r="M9" s="15"/>
      <c r="N9" s="26">
        <v>0</v>
      </c>
      <c r="O9" s="26" t="e">
        <f t="shared" si="4"/>
        <v>#DIV/0!</v>
      </c>
      <c r="P9" s="26"/>
      <c r="Q9" s="26">
        <v>0</v>
      </c>
      <c r="R9" s="26" t="e">
        <f t="shared" si="5"/>
        <v>#DIV/0!</v>
      </c>
      <c r="S9" s="15"/>
    </row>
    <row r="10" spans="1:19" s="27" customFormat="1" ht="15.75">
      <c r="A10" s="19" t="s">
        <v>24</v>
      </c>
      <c r="B10" s="20" t="s">
        <v>25</v>
      </c>
      <c r="C10" s="88">
        <v>90.898840000000007</v>
      </c>
      <c r="D10" s="21">
        <v>100</v>
      </c>
      <c r="E10" s="22">
        <f t="shared" si="0"/>
        <v>110.01240499878766</v>
      </c>
      <c r="F10" s="21">
        <f>100-10.96634</f>
        <v>89.033659999999998</v>
      </c>
      <c r="G10" s="22">
        <f t="shared" si="1"/>
        <v>97.948070624443602</v>
      </c>
      <c r="H10" s="15"/>
      <c r="I10" s="31"/>
      <c r="J10" s="28">
        <v>100</v>
      </c>
      <c r="K10" s="22">
        <f t="shared" si="2"/>
        <v>100</v>
      </c>
      <c r="L10" s="22">
        <f t="shared" si="3"/>
        <v>112.31707199277217</v>
      </c>
      <c r="M10" s="31"/>
      <c r="N10" s="26">
        <v>100</v>
      </c>
      <c r="O10" s="26">
        <f t="shared" si="4"/>
        <v>100</v>
      </c>
      <c r="P10" s="26"/>
      <c r="Q10" s="26">
        <v>100</v>
      </c>
      <c r="R10" s="26">
        <f t="shared" si="5"/>
        <v>100</v>
      </c>
      <c r="S10" s="15"/>
    </row>
    <row r="11" spans="1:19" s="27" customFormat="1" ht="24">
      <c r="A11" s="19" t="s">
        <v>26</v>
      </c>
      <c r="B11" s="20" t="s">
        <v>27</v>
      </c>
      <c r="C11" s="88">
        <v>235.06399999999999</v>
      </c>
      <c r="D11" s="21">
        <v>268.75312000000002</v>
      </c>
      <c r="E11" s="22">
        <f t="shared" si="0"/>
        <v>114.33189259095397</v>
      </c>
      <c r="F11" s="21">
        <v>268.75312000000002</v>
      </c>
      <c r="G11" s="22">
        <f t="shared" si="1"/>
        <v>114.33189259095397</v>
      </c>
      <c r="H11" s="15"/>
      <c r="I11" s="30"/>
      <c r="J11" s="28">
        <v>285.8</v>
      </c>
      <c r="K11" s="22">
        <f t="shared" si="2"/>
        <v>106.34295147903772</v>
      </c>
      <c r="L11" s="22">
        <f t="shared" si="3"/>
        <v>106.34295147903772</v>
      </c>
      <c r="M11" s="15"/>
      <c r="N11" s="26">
        <v>345.1</v>
      </c>
      <c r="O11" s="26">
        <f t="shared" si="4"/>
        <v>120.7487753673898</v>
      </c>
      <c r="P11" s="26"/>
      <c r="Q11" s="26">
        <v>349.9</v>
      </c>
      <c r="R11" s="26">
        <f t="shared" si="5"/>
        <v>101.39090118806142</v>
      </c>
      <c r="S11" s="15"/>
    </row>
    <row r="12" spans="1:19" s="27" customFormat="1" ht="60">
      <c r="A12" s="19" t="s">
        <v>28</v>
      </c>
      <c r="B12" s="20" t="s">
        <v>29</v>
      </c>
      <c r="C12" s="88">
        <v>17732.80586</v>
      </c>
      <c r="D12" s="21">
        <v>18935.896860000001</v>
      </c>
      <c r="E12" s="22">
        <f t="shared" si="0"/>
        <v>106.78454954900182</v>
      </c>
      <c r="F12" s="21">
        <f>18935.89686+70+5.92+300+586.9</f>
        <v>19898.71686</v>
      </c>
      <c r="G12" s="22">
        <f t="shared" si="1"/>
        <v>112.21414714117893</v>
      </c>
      <c r="H12" s="15"/>
      <c r="I12" s="30"/>
      <c r="J12" s="28">
        <v>9148.5</v>
      </c>
      <c r="K12" s="22">
        <f t="shared" si="2"/>
        <v>48.313000792295185</v>
      </c>
      <c r="L12" s="22">
        <f t="shared" si="3"/>
        <v>45.975326270359325</v>
      </c>
      <c r="M12" s="15"/>
      <c r="N12" s="26">
        <v>7038.7</v>
      </c>
      <c r="O12" s="26">
        <f t="shared" si="4"/>
        <v>76.938295895501994</v>
      </c>
      <c r="P12" s="26"/>
      <c r="Q12" s="26">
        <v>6936.3</v>
      </c>
      <c r="R12" s="26">
        <f t="shared" si="5"/>
        <v>98.545185900805549</v>
      </c>
      <c r="S12" s="15"/>
    </row>
    <row r="13" spans="1:19" s="27" customFormat="1" ht="30">
      <c r="A13" s="19" t="s">
        <v>30</v>
      </c>
      <c r="B13" s="20" t="s">
        <v>31</v>
      </c>
      <c r="C13" s="88">
        <v>0</v>
      </c>
      <c r="D13" s="21">
        <v>0</v>
      </c>
      <c r="E13" s="22" t="e">
        <f t="shared" si="0"/>
        <v>#DIV/0!</v>
      </c>
      <c r="F13" s="21">
        <v>0</v>
      </c>
      <c r="G13" s="22" t="e">
        <f t="shared" si="1"/>
        <v>#DIV/0!</v>
      </c>
      <c r="H13" s="15"/>
      <c r="I13" s="30"/>
      <c r="J13" s="28">
        <v>0</v>
      </c>
      <c r="K13" s="22" t="e">
        <f t="shared" si="2"/>
        <v>#DIV/0!</v>
      </c>
      <c r="L13" s="22" t="e">
        <f t="shared" si="3"/>
        <v>#DIV/0!</v>
      </c>
      <c r="M13" s="31"/>
      <c r="N13" s="26">
        <v>0</v>
      </c>
      <c r="O13" s="26" t="e">
        <f t="shared" si="4"/>
        <v>#DIV/0!</v>
      </c>
      <c r="P13" s="26"/>
      <c r="Q13" s="26">
        <v>0</v>
      </c>
      <c r="R13" s="26" t="e">
        <f t="shared" si="5"/>
        <v>#DIV/0!</v>
      </c>
      <c r="S13" s="15"/>
    </row>
    <row r="14" spans="1:19" s="27" customFormat="1" ht="96">
      <c r="A14" s="19" t="s">
        <v>32</v>
      </c>
      <c r="B14" s="20" t="s">
        <v>33</v>
      </c>
      <c r="C14" s="88">
        <v>170739.08194</v>
      </c>
      <c r="D14" s="21">
        <v>64556.98704</v>
      </c>
      <c r="E14" s="22">
        <f t="shared" si="0"/>
        <v>37.81031636487667</v>
      </c>
      <c r="F14" s="21">
        <f>64556.98704+220.607+40+600+178+137.22623+300+4696.6</f>
        <v>70729.420270000002</v>
      </c>
      <c r="G14" s="22">
        <f t="shared" si="1"/>
        <v>41.425442532750218</v>
      </c>
      <c r="H14" s="15"/>
      <c r="I14" s="30"/>
      <c r="J14" s="28">
        <v>66816</v>
      </c>
      <c r="K14" s="22">
        <f t="shared" si="2"/>
        <v>103.49925401351258</v>
      </c>
      <c r="L14" s="22">
        <f t="shared" si="3"/>
        <v>94.467054508490179</v>
      </c>
      <c r="M14" s="15"/>
      <c r="N14" s="26">
        <f>42793.1+86.9</f>
        <v>42880</v>
      </c>
      <c r="O14" s="26">
        <f t="shared" si="4"/>
        <v>64.17624521072797</v>
      </c>
      <c r="P14" s="26"/>
      <c r="Q14" s="26">
        <f>42463+217.8</f>
        <v>42680.800000000003</v>
      </c>
      <c r="R14" s="26">
        <f t="shared" si="5"/>
        <v>99.535447761194035</v>
      </c>
      <c r="S14" s="15"/>
    </row>
    <row r="15" spans="1:19" s="27" customFormat="1" ht="30">
      <c r="A15" s="33">
        <v>630</v>
      </c>
      <c r="B15" s="20" t="s">
        <v>34</v>
      </c>
      <c r="C15" s="88">
        <v>1724.23677</v>
      </c>
      <c r="D15" s="21">
        <v>1375</v>
      </c>
      <c r="E15" s="22">
        <f t="shared" si="0"/>
        <v>79.745428465720508</v>
      </c>
      <c r="F15" s="21">
        <v>1375</v>
      </c>
      <c r="G15" s="22">
        <f t="shared" si="1"/>
        <v>79.745428465720508</v>
      </c>
      <c r="H15" s="15"/>
      <c r="I15" s="30"/>
      <c r="J15" s="28">
        <v>1350</v>
      </c>
      <c r="K15" s="22">
        <f t="shared" si="2"/>
        <v>98.181818181818187</v>
      </c>
      <c r="L15" s="22">
        <f t="shared" si="3"/>
        <v>98.181818181818187</v>
      </c>
      <c r="M15" s="15"/>
      <c r="N15" s="26">
        <v>1350</v>
      </c>
      <c r="O15" s="26">
        <f t="shared" si="4"/>
        <v>100</v>
      </c>
      <c r="P15" s="26"/>
      <c r="Q15" s="26">
        <v>1350</v>
      </c>
      <c r="R15" s="26">
        <f t="shared" si="5"/>
        <v>100</v>
      </c>
      <c r="S15" s="15"/>
    </row>
    <row r="16" spans="1:19" s="27" customFormat="1" ht="45">
      <c r="A16" s="34">
        <v>810</v>
      </c>
      <c r="B16" s="20" t="s">
        <v>35</v>
      </c>
      <c r="C16" s="88">
        <v>0</v>
      </c>
      <c r="D16" s="21">
        <v>0</v>
      </c>
      <c r="E16" s="22" t="e">
        <f t="shared" si="0"/>
        <v>#DIV/0!</v>
      </c>
      <c r="F16" s="21">
        <v>0</v>
      </c>
      <c r="G16" s="22" t="e">
        <f t="shared" si="1"/>
        <v>#DIV/0!</v>
      </c>
      <c r="H16" s="15"/>
      <c r="I16" s="30"/>
      <c r="J16" s="28">
        <v>0</v>
      </c>
      <c r="K16" s="22" t="e">
        <f t="shared" si="2"/>
        <v>#DIV/0!</v>
      </c>
      <c r="L16" s="22" t="e">
        <f t="shared" si="3"/>
        <v>#DIV/0!</v>
      </c>
      <c r="M16" s="15"/>
      <c r="N16" s="26">
        <v>0</v>
      </c>
      <c r="O16" s="26" t="e">
        <f t="shared" si="4"/>
        <v>#DIV/0!</v>
      </c>
      <c r="P16" s="26"/>
      <c r="Q16" s="26">
        <v>0</v>
      </c>
      <c r="R16" s="26" t="e">
        <f t="shared" si="5"/>
        <v>#DIV/0!</v>
      </c>
      <c r="S16" s="15"/>
    </row>
    <row r="17" spans="1:23" s="27" customFormat="1" ht="15.75">
      <c r="A17" s="34">
        <v>830</v>
      </c>
      <c r="B17" s="20" t="s">
        <v>36</v>
      </c>
      <c r="C17" s="88">
        <v>32.299999999999997</v>
      </c>
      <c r="D17" s="21">
        <v>40.299999999999997</v>
      </c>
      <c r="E17" s="22">
        <f t="shared" si="0"/>
        <v>124.76780185758514</v>
      </c>
      <c r="F17" s="21">
        <v>40.299999999999997</v>
      </c>
      <c r="G17" s="22">
        <f t="shared" si="1"/>
        <v>124.76780185758514</v>
      </c>
      <c r="H17" s="15"/>
      <c r="I17" s="30"/>
      <c r="J17" s="28">
        <v>0</v>
      </c>
      <c r="K17" s="22">
        <f t="shared" si="2"/>
        <v>0</v>
      </c>
      <c r="L17" s="22">
        <f t="shared" si="3"/>
        <v>0</v>
      </c>
      <c r="M17" s="15"/>
      <c r="N17" s="26">
        <v>0</v>
      </c>
      <c r="O17" s="26" t="e">
        <f t="shared" si="4"/>
        <v>#DIV/0!</v>
      </c>
      <c r="P17" s="26"/>
      <c r="Q17" s="26">
        <v>0</v>
      </c>
      <c r="R17" s="26" t="e">
        <f t="shared" si="5"/>
        <v>#DIV/0!</v>
      </c>
      <c r="S17" s="15"/>
    </row>
    <row r="18" spans="1:23" s="27" customFormat="1" ht="15.75">
      <c r="A18" s="34">
        <v>850</v>
      </c>
      <c r="B18" s="20" t="s">
        <v>37</v>
      </c>
      <c r="C18" s="88">
        <v>498.6524</v>
      </c>
      <c r="D18" s="21">
        <v>956.48155999999994</v>
      </c>
      <c r="E18" s="22">
        <f t="shared" si="0"/>
        <v>191.81328717158485</v>
      </c>
      <c r="F18" s="21">
        <f>956.48156+89.5</f>
        <v>1045.9815599999999</v>
      </c>
      <c r="G18" s="22">
        <f t="shared" si="1"/>
        <v>209.76166163042632</v>
      </c>
      <c r="H18" s="15"/>
      <c r="I18" s="30"/>
      <c r="J18" s="28">
        <v>390.5</v>
      </c>
      <c r="K18" s="22">
        <f t="shared" si="2"/>
        <v>40.826714944718852</v>
      </c>
      <c r="L18" s="22">
        <f t="shared" si="3"/>
        <v>37.333354136759354</v>
      </c>
      <c r="M18" s="15"/>
      <c r="N18" s="26">
        <v>389.5</v>
      </c>
      <c r="O18" s="26">
        <f t="shared" si="4"/>
        <v>99.743918053777207</v>
      </c>
      <c r="P18" s="26"/>
      <c r="Q18" s="26">
        <v>389.5</v>
      </c>
      <c r="R18" s="26">
        <f t="shared" si="5"/>
        <v>100</v>
      </c>
      <c r="S18" s="15"/>
    </row>
    <row r="19" spans="1:23" s="27" customFormat="1" ht="30">
      <c r="A19" s="34">
        <v>400</v>
      </c>
      <c r="B19" s="20" t="s">
        <v>38</v>
      </c>
      <c r="C19" s="88">
        <v>58257.2042</v>
      </c>
      <c r="D19" s="21">
        <v>20967.974999999999</v>
      </c>
      <c r="E19" s="22">
        <f t="shared" si="0"/>
        <v>35.992072204522302</v>
      </c>
      <c r="F19" s="21">
        <v>20967.974999999999</v>
      </c>
      <c r="G19" s="22">
        <f t="shared" si="1"/>
        <v>35.992072204522302</v>
      </c>
      <c r="H19" s="15"/>
      <c r="I19" s="30"/>
      <c r="J19" s="28">
        <v>5381.1</v>
      </c>
      <c r="K19" s="22">
        <f t="shared" si="2"/>
        <v>25.663422433496802</v>
      </c>
      <c r="L19" s="22">
        <f t="shared" si="3"/>
        <v>25.663422433496802</v>
      </c>
      <c r="M19" s="31"/>
      <c r="N19" s="26">
        <v>8071.6</v>
      </c>
      <c r="O19" s="26">
        <f t="shared" si="4"/>
        <v>149.99907082195091</v>
      </c>
      <c r="P19" s="35"/>
      <c r="Q19" s="26">
        <v>8071.6</v>
      </c>
      <c r="R19" s="26">
        <f t="shared" si="5"/>
        <v>100</v>
      </c>
      <c r="S19" s="31"/>
    </row>
    <row r="20" spans="1:23" s="27" customFormat="1" ht="25.5" customHeight="1">
      <c r="A20" s="34">
        <v>243</v>
      </c>
      <c r="B20" s="20" t="s">
        <v>39</v>
      </c>
      <c r="C20" s="88">
        <v>0</v>
      </c>
      <c r="D20" s="21">
        <v>0</v>
      </c>
      <c r="E20" s="22" t="e">
        <f t="shared" si="0"/>
        <v>#DIV/0!</v>
      </c>
      <c r="F20" s="21">
        <v>0</v>
      </c>
      <c r="G20" s="22" t="e">
        <f t="shared" si="1"/>
        <v>#DIV/0!</v>
      </c>
      <c r="H20" s="15"/>
      <c r="I20" s="30"/>
      <c r="J20" s="28">
        <v>0</v>
      </c>
      <c r="K20" s="22" t="e">
        <f t="shared" si="2"/>
        <v>#DIV/0!</v>
      </c>
      <c r="L20" s="22" t="e">
        <f t="shared" si="3"/>
        <v>#DIV/0!</v>
      </c>
      <c r="M20" s="15"/>
      <c r="N20" s="26">
        <v>0</v>
      </c>
      <c r="O20" s="26" t="e">
        <f t="shared" si="4"/>
        <v>#DIV/0!</v>
      </c>
      <c r="P20" s="26"/>
      <c r="Q20" s="26">
        <v>0</v>
      </c>
      <c r="R20" s="26" t="e">
        <f t="shared" si="5"/>
        <v>#DIV/0!</v>
      </c>
      <c r="S20" s="15"/>
    </row>
    <row r="21" spans="1:23" s="27" customFormat="1" ht="15.75">
      <c r="A21" s="34">
        <v>350</v>
      </c>
      <c r="B21" s="20" t="s">
        <v>40</v>
      </c>
      <c r="C21" s="88">
        <v>15</v>
      </c>
      <c r="D21" s="21">
        <v>15</v>
      </c>
      <c r="E21" s="22">
        <f t="shared" si="0"/>
        <v>100</v>
      </c>
      <c r="F21" s="21">
        <v>15</v>
      </c>
      <c r="G21" s="22">
        <f t="shared" si="1"/>
        <v>100</v>
      </c>
      <c r="H21" s="15"/>
      <c r="I21" s="30"/>
      <c r="J21" s="28">
        <v>0</v>
      </c>
      <c r="K21" s="22">
        <f t="shared" si="2"/>
        <v>0</v>
      </c>
      <c r="L21" s="22">
        <f t="shared" si="3"/>
        <v>0</v>
      </c>
      <c r="M21" s="15"/>
      <c r="N21" s="26">
        <v>0</v>
      </c>
      <c r="O21" s="26" t="e">
        <f t="shared" si="4"/>
        <v>#DIV/0!</v>
      </c>
      <c r="P21" s="26"/>
      <c r="Q21" s="26">
        <v>0</v>
      </c>
      <c r="R21" s="26" t="e">
        <f t="shared" si="5"/>
        <v>#DIV/0!</v>
      </c>
      <c r="S21" s="15"/>
    </row>
    <row r="22" spans="1:23" s="27" customFormat="1" ht="15.75">
      <c r="A22" s="34">
        <v>820</v>
      </c>
      <c r="B22" s="20" t="s">
        <v>41</v>
      </c>
      <c r="C22" s="88">
        <v>0</v>
      </c>
      <c r="D22" s="21">
        <v>0</v>
      </c>
      <c r="E22" s="22" t="e">
        <f t="shared" si="0"/>
        <v>#DIV/0!</v>
      </c>
      <c r="F22" s="21">
        <v>0</v>
      </c>
      <c r="G22" s="22" t="e">
        <f t="shared" si="1"/>
        <v>#DIV/0!</v>
      </c>
      <c r="H22" s="15"/>
      <c r="I22" s="30"/>
      <c r="J22" s="28">
        <v>0</v>
      </c>
      <c r="K22" s="22" t="e">
        <f t="shared" si="2"/>
        <v>#DIV/0!</v>
      </c>
      <c r="L22" s="22" t="e">
        <f t="shared" si="3"/>
        <v>#DIV/0!</v>
      </c>
      <c r="M22" s="15"/>
      <c r="N22" s="26">
        <v>0</v>
      </c>
      <c r="O22" s="26" t="e">
        <f t="shared" si="4"/>
        <v>#DIV/0!</v>
      </c>
      <c r="P22" s="26"/>
      <c r="Q22" s="26">
        <v>0</v>
      </c>
      <c r="R22" s="26" t="e">
        <f t="shared" si="5"/>
        <v>#DIV/0!</v>
      </c>
      <c r="S22" s="15"/>
    </row>
    <row r="23" spans="1:23" s="27" customFormat="1" ht="45">
      <c r="A23" s="34">
        <v>842</v>
      </c>
      <c r="B23" s="20" t="s">
        <v>42</v>
      </c>
      <c r="C23" s="88">
        <v>0</v>
      </c>
      <c r="D23" s="21">
        <v>0</v>
      </c>
      <c r="E23" s="22" t="e">
        <f t="shared" si="0"/>
        <v>#DIV/0!</v>
      </c>
      <c r="F23" s="21">
        <v>0</v>
      </c>
      <c r="G23" s="22" t="e">
        <f t="shared" si="1"/>
        <v>#DIV/0!</v>
      </c>
      <c r="H23" s="15"/>
      <c r="I23" s="30"/>
      <c r="J23" s="28">
        <v>0</v>
      </c>
      <c r="K23" s="22" t="e">
        <f t="shared" si="2"/>
        <v>#DIV/0!</v>
      </c>
      <c r="L23" s="22" t="e">
        <f t="shared" si="3"/>
        <v>#DIV/0!</v>
      </c>
      <c r="M23" s="15"/>
      <c r="N23" s="26">
        <v>0</v>
      </c>
      <c r="O23" s="26" t="e">
        <f t="shared" si="4"/>
        <v>#DIV/0!</v>
      </c>
      <c r="P23" s="26"/>
      <c r="Q23" s="26">
        <v>0</v>
      </c>
      <c r="R23" s="26" t="e">
        <f t="shared" si="5"/>
        <v>#DIV/0!</v>
      </c>
      <c r="S23" s="15"/>
    </row>
    <row r="24" spans="1:23" s="27" customFormat="1" ht="15.75">
      <c r="A24" s="34">
        <v>870</v>
      </c>
      <c r="B24" s="20" t="s">
        <v>43</v>
      </c>
      <c r="C24" s="88">
        <v>0</v>
      </c>
      <c r="D24" s="21">
        <v>10</v>
      </c>
      <c r="E24" s="22" t="e">
        <f t="shared" si="0"/>
        <v>#DIV/0!</v>
      </c>
      <c r="F24" s="21">
        <v>10</v>
      </c>
      <c r="G24" s="22" t="e">
        <f t="shared" si="1"/>
        <v>#DIV/0!</v>
      </c>
      <c r="H24" s="15"/>
      <c r="I24" s="30"/>
      <c r="J24" s="28">
        <v>50</v>
      </c>
      <c r="K24" s="22">
        <f t="shared" si="2"/>
        <v>500</v>
      </c>
      <c r="L24" s="22">
        <f t="shared" si="3"/>
        <v>500</v>
      </c>
      <c r="M24" s="15"/>
      <c r="N24" s="26">
        <f>3599.3-87.1</f>
        <v>3512.2000000000003</v>
      </c>
      <c r="O24" s="26">
        <f t="shared" si="4"/>
        <v>7024.4</v>
      </c>
      <c r="P24" s="26"/>
      <c r="Q24" s="26">
        <f>7656.9-217.8</f>
        <v>7439.0999999999995</v>
      </c>
      <c r="R24" s="26">
        <f t="shared" si="5"/>
        <v>211.80741415636919</v>
      </c>
      <c r="S24" s="15"/>
    </row>
    <row r="25" spans="1:23" s="27" customFormat="1" ht="15.75">
      <c r="A25" s="34">
        <v>500</v>
      </c>
      <c r="B25" s="20" t="s">
        <v>44</v>
      </c>
      <c r="C25" s="88">
        <v>14789.146000000001</v>
      </c>
      <c r="D25" s="21">
        <v>18283.175149999999</v>
      </c>
      <c r="E25" s="22">
        <f t="shared" si="0"/>
        <v>123.62563159495483</v>
      </c>
      <c r="F25" s="21">
        <f>18283.17515+350+100</f>
        <v>18733.175149999999</v>
      </c>
      <c r="G25" s="22">
        <f t="shared" si="1"/>
        <v>126.66840363872261</v>
      </c>
      <c r="H25" s="15"/>
      <c r="I25" s="30"/>
      <c r="J25" s="28">
        <v>17717.400000000001</v>
      </c>
      <c r="K25" s="22">
        <f t="shared" si="2"/>
        <v>96.905487447567353</v>
      </c>
      <c r="L25" s="22">
        <f t="shared" si="3"/>
        <v>94.577666936509701</v>
      </c>
      <c r="M25" s="15"/>
      <c r="N25" s="26">
        <v>18203.7</v>
      </c>
      <c r="O25" s="26">
        <f t="shared" si="4"/>
        <v>102.74475938907514</v>
      </c>
      <c r="P25" s="26"/>
      <c r="Q25" s="26">
        <v>24453.3</v>
      </c>
      <c r="R25" s="26">
        <f t="shared" si="5"/>
        <v>134.33148206133916</v>
      </c>
      <c r="S25" s="15"/>
    </row>
    <row r="26" spans="1:23" s="27" customFormat="1" ht="15.75">
      <c r="A26" s="34" t="s">
        <v>45</v>
      </c>
      <c r="B26" s="20" t="s">
        <v>46</v>
      </c>
      <c r="C26" s="88">
        <v>0</v>
      </c>
      <c r="D26" s="21">
        <v>91.5</v>
      </c>
      <c r="E26" s="22" t="e">
        <f t="shared" si="0"/>
        <v>#DIV/0!</v>
      </c>
      <c r="F26" s="21">
        <v>91.5</v>
      </c>
      <c r="G26" s="22" t="e">
        <f t="shared" si="1"/>
        <v>#DIV/0!</v>
      </c>
      <c r="H26" s="15"/>
      <c r="I26" s="30"/>
      <c r="J26" s="28">
        <v>92</v>
      </c>
      <c r="K26" s="22">
        <f t="shared" si="2"/>
        <v>100.5464480874317</v>
      </c>
      <c r="L26" s="22">
        <f t="shared" si="3"/>
        <v>100.5464480874317</v>
      </c>
      <c r="M26" s="15"/>
      <c r="N26" s="26">
        <v>323.39999999999998</v>
      </c>
      <c r="O26" s="26">
        <f t="shared" si="4"/>
        <v>351.52173913043475</v>
      </c>
      <c r="P26" s="26"/>
      <c r="Q26" s="26">
        <v>553.9</v>
      </c>
      <c r="R26" s="26">
        <f t="shared" si="5"/>
        <v>171.27396413110699</v>
      </c>
      <c r="S26" s="15"/>
    </row>
    <row r="27" spans="1:23" s="43" customFormat="1" ht="15.75">
      <c r="A27" s="36"/>
      <c r="B27" s="37" t="s">
        <v>47</v>
      </c>
      <c r="C27" s="38">
        <f>C4+C7+C8+C9+C10+C11+C12+C13+C14+C15+C16+C17+C18+C19+C20+C21+C22+C23+C24+C25+C26</f>
        <v>576494.98086000001</v>
      </c>
      <c r="D27" s="38">
        <f>D4+D7+D8+D9+D10+D11+D12+D13+D14+D15+D16+D17+D18+D19+D20+D21+D22+D23+D24+D25+D26</f>
        <v>487478.35818999994</v>
      </c>
      <c r="E27" s="39">
        <f t="shared" si="0"/>
        <v>84.558994332056898</v>
      </c>
      <c r="F27" s="38">
        <f>F4+F7+F8+F9+F10+F11+F12+F13+F14+F15+F16+F17+F18+F19+F20+F21+F22+F23+F24+F25+F26</f>
        <v>530866.8844199999</v>
      </c>
      <c r="G27" s="39">
        <f t="shared" si="1"/>
        <v>92.085256948476228</v>
      </c>
      <c r="H27" s="40"/>
      <c r="I27" s="41"/>
      <c r="J27" s="38">
        <f>J4+J7+J8+J9+J10+J11+J12+J13+J14+J15+J16+J17+J18+J19+J20+J21+J22+J23+J24+J25+J26</f>
        <v>420130.8</v>
      </c>
      <c r="K27" s="22">
        <f t="shared" si="2"/>
        <v>86.18450295105194</v>
      </c>
      <c r="L27" s="22">
        <f t="shared" si="3"/>
        <v>79.140517581731444</v>
      </c>
      <c r="M27" s="41"/>
      <c r="N27" s="38">
        <f>N4+N7+N8+N9+N10+N11+N12+N13+N14+N15+N16+N17+N18+N19+N20+N21+N22+N23+N24+N25+N26</f>
        <v>381940.3</v>
      </c>
      <c r="O27" s="26">
        <f t="shared" si="4"/>
        <v>90.909854740476064</v>
      </c>
      <c r="P27" s="42"/>
      <c r="Q27" s="38">
        <f>Q4+Q7+Q8+Q9+Q10+Q11+Q12+Q13+Q14+Q15+Q16+Q17+Q18+Q19+Q20+Q21+Q22+Q23+Q24+Q25+Q26</f>
        <v>404309.59999999992</v>
      </c>
      <c r="R27" s="26">
        <f t="shared" si="5"/>
        <v>105.85675300563986</v>
      </c>
      <c r="S27" s="41"/>
    </row>
    <row r="28" spans="1:23" s="47" customFormat="1" ht="15.75">
      <c r="A28" s="44"/>
      <c r="B28" s="45" t="s">
        <v>48</v>
      </c>
      <c r="C28" s="38">
        <v>1633.8955699999999</v>
      </c>
      <c r="D28" s="38">
        <v>-1360.76324</v>
      </c>
      <c r="E28" s="39">
        <f t="shared" si="0"/>
        <v>-83.283366757644131</v>
      </c>
      <c r="F28" s="38">
        <v>-41653.699999999997</v>
      </c>
      <c r="G28" s="39">
        <f t="shared" si="1"/>
        <v>-2549.3489770585525</v>
      </c>
      <c r="H28" s="40"/>
      <c r="I28" s="46"/>
      <c r="J28" s="38">
        <v>2613.1999999999998</v>
      </c>
      <c r="K28" s="22">
        <f t="shared" si="2"/>
        <v>-192.03928524700592</v>
      </c>
      <c r="L28" s="22">
        <f t="shared" si="3"/>
        <v>-6.2736323543886865</v>
      </c>
      <c r="M28" s="46"/>
      <c r="N28" s="38">
        <v>3484.3</v>
      </c>
      <c r="O28" s="26">
        <f t="shared" si="4"/>
        <v>133.33460890861781</v>
      </c>
      <c r="P28" s="38"/>
      <c r="Q28" s="38">
        <v>4355.3</v>
      </c>
      <c r="R28" s="26">
        <f t="shared" si="5"/>
        <v>124.99784748730019</v>
      </c>
      <c r="S28" s="46"/>
    </row>
    <row r="29" spans="1:23" s="54" customFormat="1" ht="15.75">
      <c r="A29" s="48" t="s">
        <v>49</v>
      </c>
      <c r="B29" s="49" t="s">
        <v>50</v>
      </c>
      <c r="C29" s="50"/>
      <c r="D29" s="51"/>
      <c r="E29" s="22"/>
      <c r="F29" s="51"/>
      <c r="G29" s="22"/>
      <c r="H29" s="52"/>
      <c r="I29" s="53"/>
      <c r="J29" s="51"/>
      <c r="K29" s="22" t="e">
        <f t="shared" si="2"/>
        <v>#DIV/0!</v>
      </c>
      <c r="L29" s="22" t="e">
        <f t="shared" si="3"/>
        <v>#DIV/0!</v>
      </c>
      <c r="M29" s="53"/>
      <c r="N29" s="51"/>
      <c r="O29" s="26" t="e">
        <f t="shared" si="4"/>
        <v>#DIV/0!</v>
      </c>
      <c r="P29" s="51"/>
      <c r="Q29" s="51"/>
      <c r="R29" s="26" t="e">
        <f t="shared" si="5"/>
        <v>#DIV/0!</v>
      </c>
      <c r="S29" s="53"/>
      <c r="U29" s="55"/>
      <c r="V29" s="55"/>
      <c r="W29" s="55"/>
    </row>
    <row r="30" spans="1:23" s="62" customFormat="1" ht="15.75">
      <c r="A30" s="56" t="s">
        <v>51</v>
      </c>
      <c r="B30" s="57" t="s">
        <v>52</v>
      </c>
      <c r="C30" s="58">
        <f>SUM(C31:C40)</f>
        <v>55732.432260000001</v>
      </c>
      <c r="D30" s="58">
        <f>SUM(D31:D40)</f>
        <v>58851.579240000006</v>
      </c>
      <c r="E30" s="39">
        <f t="shared" ref="E30:E61" si="6">SUM(D30/C30)*100</f>
        <v>105.59664607036838</v>
      </c>
      <c r="F30" s="58">
        <f>SUM(F31:F40)</f>
        <v>77014.345579999994</v>
      </c>
      <c r="G30" s="39">
        <f t="shared" ref="G30:G61" si="7">SUM(F30/C30)*100</f>
        <v>138.18586854547587</v>
      </c>
      <c r="H30" s="40"/>
      <c r="I30" s="59"/>
      <c r="J30" s="58">
        <f>SUM(J31:J40)</f>
        <v>49314.1</v>
      </c>
      <c r="K30" s="22">
        <f t="shared" si="2"/>
        <v>83.794013069546295</v>
      </c>
      <c r="L30" s="22">
        <f t="shared" si="3"/>
        <v>64.032356087183942</v>
      </c>
      <c r="M30" s="60"/>
      <c r="N30" s="58">
        <f>SUM(N31:N40)</f>
        <v>40263.9</v>
      </c>
      <c r="O30" s="26">
        <f t="shared" si="4"/>
        <v>81.647845139625389</v>
      </c>
      <c r="P30" s="61"/>
      <c r="Q30" s="58">
        <f>SUM(Q31:Q40)</f>
        <v>44831.5</v>
      </c>
      <c r="R30" s="26">
        <f t="shared" si="5"/>
        <v>111.34415692468936</v>
      </c>
      <c r="S30" s="59"/>
    </row>
    <row r="31" spans="1:23" s="27" customFormat="1" ht="30">
      <c r="A31" s="63" t="s">
        <v>53</v>
      </c>
      <c r="B31" s="64" t="s">
        <v>54</v>
      </c>
      <c r="C31" s="65">
        <v>1869.0930000000001</v>
      </c>
      <c r="D31" s="65">
        <v>1895.4290000000001</v>
      </c>
      <c r="E31" s="22">
        <f t="shared" si="6"/>
        <v>101.40902566110942</v>
      </c>
      <c r="F31" s="65">
        <f>1895.429+101.8+384.4</f>
        <v>2381.6289999999999</v>
      </c>
      <c r="G31" s="22">
        <f t="shared" si="7"/>
        <v>127.42164247578904</v>
      </c>
      <c r="H31" s="15"/>
      <c r="I31" s="66"/>
      <c r="J31" s="28">
        <v>1799.1</v>
      </c>
      <c r="K31" s="22">
        <f t="shared" si="2"/>
        <v>94.917825990844278</v>
      </c>
      <c r="L31" s="22">
        <f t="shared" si="3"/>
        <v>75.540732834543078</v>
      </c>
      <c r="M31" s="30"/>
      <c r="N31" s="67">
        <v>1778</v>
      </c>
      <c r="O31" s="26">
        <f t="shared" si="4"/>
        <v>98.827191373464515</v>
      </c>
      <c r="P31" s="67"/>
      <c r="Q31" s="67">
        <v>1778</v>
      </c>
      <c r="R31" s="26">
        <f t="shared" si="5"/>
        <v>100</v>
      </c>
      <c r="S31" s="66"/>
    </row>
    <row r="32" spans="1:23" s="27" customFormat="1" ht="45">
      <c r="A32" s="63" t="s">
        <v>55</v>
      </c>
      <c r="B32" s="64" t="s">
        <v>56</v>
      </c>
      <c r="C32" s="65">
        <v>0</v>
      </c>
      <c r="D32" s="65">
        <v>0</v>
      </c>
      <c r="E32" s="22" t="e">
        <f t="shared" si="6"/>
        <v>#DIV/0!</v>
      </c>
      <c r="F32" s="65">
        <v>0</v>
      </c>
      <c r="G32" s="22" t="e">
        <f t="shared" si="7"/>
        <v>#DIV/0!</v>
      </c>
      <c r="H32" s="15"/>
      <c r="I32" s="68"/>
      <c r="J32" s="28">
        <v>0</v>
      </c>
      <c r="K32" s="22" t="e">
        <f t="shared" si="2"/>
        <v>#DIV/0!</v>
      </c>
      <c r="L32" s="22" t="e">
        <f t="shared" si="3"/>
        <v>#DIV/0!</v>
      </c>
      <c r="M32" s="68"/>
      <c r="N32" s="67">
        <v>0</v>
      </c>
      <c r="O32" s="26" t="e">
        <f t="shared" si="4"/>
        <v>#DIV/0!</v>
      </c>
      <c r="P32" s="28"/>
      <c r="Q32" s="67">
        <v>0</v>
      </c>
      <c r="R32" s="26" t="e">
        <f t="shared" si="5"/>
        <v>#DIV/0!</v>
      </c>
      <c r="S32" s="66"/>
    </row>
    <row r="33" spans="1:19" s="27" customFormat="1" ht="45">
      <c r="A33" s="63" t="s">
        <v>57</v>
      </c>
      <c r="B33" s="64" t="s">
        <v>58</v>
      </c>
      <c r="C33" s="65">
        <v>24049.406950000001</v>
      </c>
      <c r="D33" s="65">
        <v>24429.648130000001</v>
      </c>
      <c r="E33" s="22">
        <f t="shared" si="6"/>
        <v>101.58108339548887</v>
      </c>
      <c r="F33" s="65">
        <f>24429.64813+820.2+70+7227.5+206.9+7.8</f>
        <v>32762.048130000003</v>
      </c>
      <c r="G33" s="22">
        <f t="shared" si="7"/>
        <v>136.2280916037308</v>
      </c>
      <c r="H33" s="15"/>
      <c r="I33" s="66"/>
      <c r="J33" s="28">
        <v>20480.7</v>
      </c>
      <c r="K33" s="22">
        <f t="shared" si="2"/>
        <v>83.835427718868246</v>
      </c>
      <c r="L33" s="22">
        <f t="shared" si="3"/>
        <v>62.513490972030993</v>
      </c>
      <c r="M33" s="68"/>
      <c r="N33" s="67">
        <v>15864.6</v>
      </c>
      <c r="O33" s="26">
        <f t="shared" si="4"/>
        <v>77.461219587221137</v>
      </c>
      <c r="P33" s="28"/>
      <c r="Q33" s="67">
        <v>15957.9</v>
      </c>
      <c r="R33" s="26">
        <f t="shared" si="5"/>
        <v>100.58810181158049</v>
      </c>
      <c r="S33" s="66"/>
    </row>
    <row r="34" spans="1:19" s="27" customFormat="1" ht="15.75">
      <c r="A34" s="63" t="s">
        <v>59</v>
      </c>
      <c r="B34" s="64" t="s">
        <v>60</v>
      </c>
      <c r="C34" s="65">
        <v>0</v>
      </c>
      <c r="D34" s="65">
        <v>0</v>
      </c>
      <c r="E34" s="22" t="e">
        <f t="shared" si="6"/>
        <v>#DIV/0!</v>
      </c>
      <c r="F34" s="65">
        <v>0</v>
      </c>
      <c r="G34" s="22" t="e">
        <f t="shared" si="7"/>
        <v>#DIV/0!</v>
      </c>
      <c r="H34" s="15"/>
      <c r="I34" s="30"/>
      <c r="J34" s="28">
        <v>0</v>
      </c>
      <c r="K34" s="22" t="e">
        <f t="shared" si="2"/>
        <v>#DIV/0!</v>
      </c>
      <c r="L34" s="22" t="e">
        <f t="shared" si="3"/>
        <v>#DIV/0!</v>
      </c>
      <c r="M34" s="30"/>
      <c r="N34" s="28">
        <v>0</v>
      </c>
      <c r="O34" s="26" t="e">
        <f t="shared" si="4"/>
        <v>#DIV/0!</v>
      </c>
      <c r="P34" s="67"/>
      <c r="Q34" s="28">
        <v>0</v>
      </c>
      <c r="R34" s="26" t="e">
        <f t="shared" si="5"/>
        <v>#DIV/0!</v>
      </c>
      <c r="S34" s="66"/>
    </row>
    <row r="35" spans="1:19" s="27" customFormat="1" ht="30">
      <c r="A35" s="63" t="s">
        <v>61</v>
      </c>
      <c r="B35" s="64" t="s">
        <v>62</v>
      </c>
      <c r="C35" s="65">
        <v>5991.8203700000004</v>
      </c>
      <c r="D35" s="89">
        <v>6937.9841100000003</v>
      </c>
      <c r="E35" s="22">
        <f t="shared" si="6"/>
        <v>115.79092298456204</v>
      </c>
      <c r="F35" s="89">
        <f>6937.98411-481.527+10.96634+528.9</f>
        <v>6996.3234499999999</v>
      </c>
      <c r="G35" s="22">
        <f t="shared" si="7"/>
        <v>116.76457266692057</v>
      </c>
      <c r="H35" s="15"/>
      <c r="I35" s="30"/>
      <c r="J35" s="28">
        <v>5818.8</v>
      </c>
      <c r="K35" s="22">
        <f t="shared" si="2"/>
        <v>83.868742097767651</v>
      </c>
      <c r="L35" s="22">
        <f t="shared" si="3"/>
        <v>83.169396635028363</v>
      </c>
      <c r="M35" s="30"/>
      <c r="N35" s="67">
        <v>4483.8999999999996</v>
      </c>
      <c r="O35" s="26">
        <f t="shared" si="4"/>
        <v>77.058843747851782</v>
      </c>
      <c r="P35" s="67"/>
      <c r="Q35" s="67">
        <v>4532.5</v>
      </c>
      <c r="R35" s="26">
        <f t="shared" si="5"/>
        <v>101.08387787417206</v>
      </c>
      <c r="S35" s="66"/>
    </row>
    <row r="36" spans="1:19" s="27" customFormat="1" ht="15.75">
      <c r="A36" s="63" t="s">
        <v>63</v>
      </c>
      <c r="B36" s="64" t="s">
        <v>64</v>
      </c>
      <c r="C36" s="65">
        <v>0</v>
      </c>
      <c r="D36" s="65">
        <v>0</v>
      </c>
      <c r="E36" s="22" t="e">
        <f t="shared" si="6"/>
        <v>#DIV/0!</v>
      </c>
      <c r="F36" s="65">
        <v>0</v>
      </c>
      <c r="G36" s="22" t="e">
        <f t="shared" si="7"/>
        <v>#DIV/0!</v>
      </c>
      <c r="H36" s="15"/>
      <c r="I36" s="66"/>
      <c r="J36" s="28">
        <v>0</v>
      </c>
      <c r="K36" s="22" t="e">
        <f t="shared" ref="K36:K37" si="8">SUM(J36/D36)*100</f>
        <v>#DIV/0!</v>
      </c>
      <c r="L36" s="22" t="e">
        <f t="shared" ref="L36:L37" si="9">SUM(J36/F36)*100</f>
        <v>#DIV/0!</v>
      </c>
      <c r="M36" s="30"/>
      <c r="N36" s="28">
        <v>0</v>
      </c>
      <c r="O36" s="26" t="e">
        <f t="shared" ref="O36:O37" si="10">SUM(N36/J36)*100</f>
        <v>#DIV/0!</v>
      </c>
      <c r="P36" s="67"/>
      <c r="Q36" s="28">
        <v>0</v>
      </c>
      <c r="R36" s="26" t="e">
        <f t="shared" ref="R36:R67" si="11">SUM(Q36/N36)*100</f>
        <v>#DIV/0!</v>
      </c>
      <c r="S36" s="66"/>
    </row>
    <row r="37" spans="1:19" s="27" customFormat="1" ht="15.75">
      <c r="A37" s="63" t="s">
        <v>65</v>
      </c>
      <c r="B37" s="64" t="s">
        <v>66</v>
      </c>
      <c r="C37" s="65">
        <v>0</v>
      </c>
      <c r="D37" s="69">
        <v>0</v>
      </c>
      <c r="E37" s="22" t="e">
        <f t="shared" si="6"/>
        <v>#DIV/0!</v>
      </c>
      <c r="F37" s="69">
        <v>0</v>
      </c>
      <c r="G37" s="22" t="e">
        <f t="shared" si="7"/>
        <v>#DIV/0!</v>
      </c>
      <c r="H37" s="15"/>
      <c r="I37" s="66"/>
      <c r="J37" s="28">
        <v>0</v>
      </c>
      <c r="K37" s="22" t="e">
        <f t="shared" si="8"/>
        <v>#DIV/0!</v>
      </c>
      <c r="L37" s="22" t="e">
        <f t="shared" si="9"/>
        <v>#DIV/0!</v>
      </c>
      <c r="M37" s="30"/>
      <c r="N37" s="28">
        <v>0</v>
      </c>
      <c r="O37" s="26" t="e">
        <f t="shared" si="10"/>
        <v>#DIV/0!</v>
      </c>
      <c r="P37" s="67"/>
      <c r="Q37" s="28">
        <v>0</v>
      </c>
      <c r="R37" s="26" t="e">
        <f t="shared" si="11"/>
        <v>#DIV/0!</v>
      </c>
      <c r="S37" s="66"/>
    </row>
    <row r="38" spans="1:19" s="27" customFormat="1" ht="15.75">
      <c r="A38" s="63" t="s">
        <v>67</v>
      </c>
      <c r="B38" s="64" t="s">
        <v>68</v>
      </c>
      <c r="C38" s="65">
        <v>0</v>
      </c>
      <c r="D38" s="65">
        <v>10</v>
      </c>
      <c r="E38" s="22" t="e">
        <f t="shared" si="6"/>
        <v>#DIV/0!</v>
      </c>
      <c r="F38" s="65">
        <v>10</v>
      </c>
      <c r="G38" s="22" t="e">
        <f t="shared" si="7"/>
        <v>#DIV/0!</v>
      </c>
      <c r="H38" s="15"/>
      <c r="I38" s="66"/>
      <c r="J38" s="28">
        <v>50</v>
      </c>
      <c r="K38" s="22">
        <f t="shared" ref="K38:K65" si="12">SUM(J38/D38)*100</f>
        <v>500</v>
      </c>
      <c r="L38" s="22">
        <f t="shared" ref="L38:L65" si="13">SUM(J38/F38)*100</f>
        <v>500</v>
      </c>
      <c r="M38" s="68"/>
      <c r="N38" s="28">
        <f>50+3462.2</f>
        <v>3512.2</v>
      </c>
      <c r="O38" s="26">
        <f t="shared" ref="O38:O65" si="14">SUM(N38/J38)*100</f>
        <v>7024.4</v>
      </c>
      <c r="P38" s="28"/>
      <c r="Q38" s="28">
        <f>50+7389.1</f>
        <v>7439.1</v>
      </c>
      <c r="R38" s="26">
        <f t="shared" si="11"/>
        <v>211.80741415636925</v>
      </c>
      <c r="S38" s="66"/>
    </row>
    <row r="39" spans="1:19" s="27" customFormat="1" ht="30">
      <c r="A39" s="63" t="s">
        <v>69</v>
      </c>
      <c r="B39" s="64" t="s">
        <v>70</v>
      </c>
      <c r="C39" s="65">
        <v>0</v>
      </c>
      <c r="D39" s="65">
        <v>0</v>
      </c>
      <c r="E39" s="22" t="e">
        <f t="shared" si="6"/>
        <v>#DIV/0!</v>
      </c>
      <c r="F39" s="65">
        <v>0</v>
      </c>
      <c r="G39" s="22" t="e">
        <f t="shared" si="7"/>
        <v>#DIV/0!</v>
      </c>
      <c r="H39" s="15"/>
      <c r="I39" s="66"/>
      <c r="J39" s="28">
        <v>0</v>
      </c>
      <c r="K39" s="22" t="e">
        <f t="shared" ref="K39" si="15">SUM(J39/D39)*100</f>
        <v>#DIV/0!</v>
      </c>
      <c r="L39" s="22" t="e">
        <f t="shared" ref="L39" si="16">SUM(J39/F39)*100</f>
        <v>#DIV/0!</v>
      </c>
      <c r="M39" s="30"/>
      <c r="N39" s="28">
        <v>0</v>
      </c>
      <c r="O39" s="26" t="e">
        <f t="shared" si="14"/>
        <v>#DIV/0!</v>
      </c>
      <c r="P39" s="67"/>
      <c r="Q39" s="28">
        <v>0</v>
      </c>
      <c r="R39" s="26" t="e">
        <f t="shared" si="11"/>
        <v>#DIV/0!</v>
      </c>
      <c r="S39" s="66"/>
    </row>
    <row r="40" spans="1:19" s="27" customFormat="1" ht="15.75">
      <c r="A40" s="63" t="s">
        <v>71</v>
      </c>
      <c r="B40" s="64" t="s">
        <v>72</v>
      </c>
      <c r="C40" s="65">
        <v>23822.111939999999</v>
      </c>
      <c r="D40" s="65">
        <v>25578.518</v>
      </c>
      <c r="E40" s="22">
        <f t="shared" si="6"/>
        <v>107.37300733211146</v>
      </c>
      <c r="F40" s="65">
        <f>25578.518+5.92+620.607+300+2886.7+5010.9+380+81.7</f>
        <v>34864.344999999994</v>
      </c>
      <c r="G40" s="22">
        <f t="shared" si="7"/>
        <v>146.35287201996076</v>
      </c>
      <c r="H40" s="15"/>
      <c r="I40" s="70"/>
      <c r="J40" s="28">
        <v>21165.5</v>
      </c>
      <c r="K40" s="22">
        <f t="shared" si="12"/>
        <v>82.747170887695688</v>
      </c>
      <c r="L40" s="22">
        <f t="shared" si="13"/>
        <v>60.708153272347445</v>
      </c>
      <c r="M40" s="30"/>
      <c r="N40" s="67">
        <v>14625.2</v>
      </c>
      <c r="O40" s="26">
        <f t="shared" si="14"/>
        <v>69.099241690486878</v>
      </c>
      <c r="P40" s="67"/>
      <c r="Q40" s="67">
        <v>15124</v>
      </c>
      <c r="R40" s="26">
        <f t="shared" si="11"/>
        <v>103.41055165057571</v>
      </c>
      <c r="S40" s="66"/>
    </row>
    <row r="41" spans="1:19" s="62" customFormat="1" ht="15.75">
      <c r="A41" s="56" t="s">
        <v>73</v>
      </c>
      <c r="B41" s="57" t="s">
        <v>74</v>
      </c>
      <c r="C41" s="58">
        <v>0</v>
      </c>
      <c r="D41" s="58">
        <v>0</v>
      </c>
      <c r="E41" s="39" t="e">
        <f t="shared" si="6"/>
        <v>#DIV/0!</v>
      </c>
      <c r="F41" s="58">
        <v>0</v>
      </c>
      <c r="G41" s="39" t="e">
        <f t="shared" si="7"/>
        <v>#DIV/0!</v>
      </c>
      <c r="H41" s="40"/>
      <c r="I41" s="59"/>
      <c r="J41" s="58">
        <v>0</v>
      </c>
      <c r="K41" s="22" t="e">
        <f t="shared" si="12"/>
        <v>#DIV/0!</v>
      </c>
      <c r="L41" s="22" t="e">
        <f t="shared" si="13"/>
        <v>#DIV/0!</v>
      </c>
      <c r="M41" s="60"/>
      <c r="N41" s="58">
        <v>0</v>
      </c>
      <c r="O41" s="26" t="e">
        <f t="shared" si="14"/>
        <v>#DIV/0!</v>
      </c>
      <c r="P41" s="61"/>
      <c r="Q41" s="58">
        <v>0</v>
      </c>
      <c r="R41" s="26" t="e">
        <f t="shared" si="11"/>
        <v>#DIV/0!</v>
      </c>
      <c r="S41" s="59"/>
    </row>
    <row r="42" spans="1:19" s="27" customFormat="1" ht="15.75">
      <c r="A42" s="63" t="s">
        <v>75</v>
      </c>
      <c r="B42" s="64" t="s">
        <v>76</v>
      </c>
      <c r="C42" s="65">
        <v>0</v>
      </c>
      <c r="D42" s="65">
        <v>0</v>
      </c>
      <c r="E42" s="22" t="e">
        <f t="shared" si="6"/>
        <v>#DIV/0!</v>
      </c>
      <c r="F42" s="65">
        <v>0</v>
      </c>
      <c r="G42" s="22" t="e">
        <f t="shared" si="7"/>
        <v>#DIV/0!</v>
      </c>
      <c r="H42" s="15"/>
      <c r="I42" s="66"/>
      <c r="J42" s="28">
        <v>0</v>
      </c>
      <c r="K42" s="22" t="e">
        <f t="shared" si="12"/>
        <v>#DIV/0!</v>
      </c>
      <c r="L42" s="22" t="e">
        <f t="shared" si="13"/>
        <v>#DIV/0!</v>
      </c>
      <c r="M42" s="30"/>
      <c r="N42" s="67">
        <v>0</v>
      </c>
      <c r="O42" s="26" t="e">
        <f t="shared" si="14"/>
        <v>#DIV/0!</v>
      </c>
      <c r="P42" s="67"/>
      <c r="Q42" s="67">
        <v>0</v>
      </c>
      <c r="R42" s="26" t="e">
        <f t="shared" si="11"/>
        <v>#DIV/0!</v>
      </c>
      <c r="S42" s="66"/>
    </row>
    <row r="43" spans="1:19" s="27" customFormat="1" ht="15.75">
      <c r="A43" s="63" t="s">
        <v>77</v>
      </c>
      <c r="B43" s="64" t="s">
        <v>78</v>
      </c>
      <c r="C43" s="65">
        <v>0</v>
      </c>
      <c r="D43" s="65">
        <v>0</v>
      </c>
      <c r="E43" s="22" t="e">
        <f t="shared" si="6"/>
        <v>#DIV/0!</v>
      </c>
      <c r="F43" s="65">
        <v>0</v>
      </c>
      <c r="G43" s="22" t="e">
        <f t="shared" si="7"/>
        <v>#DIV/0!</v>
      </c>
      <c r="H43" s="15"/>
      <c r="I43" s="66"/>
      <c r="J43" s="28">
        <v>0</v>
      </c>
      <c r="K43" s="22" t="e">
        <f t="shared" si="12"/>
        <v>#DIV/0!</v>
      </c>
      <c r="L43" s="22" t="e">
        <f t="shared" si="13"/>
        <v>#DIV/0!</v>
      </c>
      <c r="M43" s="30"/>
      <c r="N43" s="67">
        <v>0</v>
      </c>
      <c r="O43" s="26" t="e">
        <f t="shared" si="14"/>
        <v>#DIV/0!</v>
      </c>
      <c r="P43" s="67"/>
      <c r="Q43" s="67">
        <v>0</v>
      </c>
      <c r="R43" s="26" t="e">
        <f t="shared" si="11"/>
        <v>#DIV/0!</v>
      </c>
      <c r="S43" s="66"/>
    </row>
    <row r="44" spans="1:19" s="27" customFormat="1" ht="15.75">
      <c r="A44" s="63" t="s">
        <v>79</v>
      </c>
      <c r="B44" s="64" t="s">
        <v>80</v>
      </c>
      <c r="C44" s="65">
        <v>0</v>
      </c>
      <c r="D44" s="65">
        <v>0</v>
      </c>
      <c r="E44" s="22" t="e">
        <f t="shared" si="6"/>
        <v>#DIV/0!</v>
      </c>
      <c r="F44" s="65">
        <v>0</v>
      </c>
      <c r="G44" s="22" t="e">
        <f t="shared" si="7"/>
        <v>#DIV/0!</v>
      </c>
      <c r="H44" s="15"/>
      <c r="I44" s="66"/>
      <c r="J44" s="28">
        <v>0</v>
      </c>
      <c r="K44" s="22" t="e">
        <f t="shared" ref="K44" si="17">SUM(J44/D44)*100</f>
        <v>#DIV/0!</v>
      </c>
      <c r="L44" s="22" t="e">
        <f t="shared" ref="L44" si="18">SUM(J44/F44)*100</f>
        <v>#DIV/0!</v>
      </c>
      <c r="M44" s="30"/>
      <c r="N44" s="67">
        <v>0</v>
      </c>
      <c r="O44" s="26" t="e">
        <f t="shared" ref="O44" si="19">SUM(N44/J44)*100</f>
        <v>#DIV/0!</v>
      </c>
      <c r="P44" s="67"/>
      <c r="Q44" s="67">
        <v>0</v>
      </c>
      <c r="R44" s="26" t="e">
        <f t="shared" si="11"/>
        <v>#DIV/0!</v>
      </c>
      <c r="S44" s="66"/>
    </row>
    <row r="45" spans="1:19" s="62" customFormat="1" ht="28.5">
      <c r="A45" s="56" t="s">
        <v>81</v>
      </c>
      <c r="B45" s="57" t="s">
        <v>82</v>
      </c>
      <c r="C45" s="58">
        <f>SUM(C46:C50)</f>
        <v>4326.0397300000004</v>
      </c>
      <c r="D45" s="58">
        <f>SUM(D46:D50)</f>
        <v>3822.3109999999997</v>
      </c>
      <c r="E45" s="39">
        <f t="shared" si="6"/>
        <v>88.355892191494021</v>
      </c>
      <c r="F45" s="58">
        <f>SUM(F46:F50)</f>
        <v>5036.3109999999997</v>
      </c>
      <c r="G45" s="39">
        <f t="shared" si="7"/>
        <v>116.41851009999853</v>
      </c>
      <c r="H45" s="40"/>
      <c r="I45" s="59"/>
      <c r="J45" s="58">
        <f>SUM(J46:J50)</f>
        <v>3374.5</v>
      </c>
      <c r="K45" s="22">
        <f t="shared" si="12"/>
        <v>88.284286652760599</v>
      </c>
      <c r="L45" s="22">
        <f t="shared" si="13"/>
        <v>67.003407851500839</v>
      </c>
      <c r="M45" s="60"/>
      <c r="N45" s="58">
        <f>SUM(N46:N50)</f>
        <v>2647.6000000000004</v>
      </c>
      <c r="O45" s="26">
        <f t="shared" si="14"/>
        <v>78.45903096755076</v>
      </c>
      <c r="P45" s="61"/>
      <c r="Q45" s="58">
        <f>SUM(Q46:Q50)</f>
        <v>2602.6</v>
      </c>
      <c r="R45" s="26">
        <f t="shared" si="11"/>
        <v>98.300347484514262</v>
      </c>
      <c r="S45" s="59"/>
    </row>
    <row r="46" spans="1:19" s="27" customFormat="1" ht="15.75">
      <c r="A46" s="63" t="s">
        <v>83</v>
      </c>
      <c r="B46" s="64" t="s">
        <v>84</v>
      </c>
      <c r="C46" s="65">
        <v>1404.43011</v>
      </c>
      <c r="D46" s="65">
        <v>1600.711</v>
      </c>
      <c r="E46" s="22">
        <f t="shared" si="6"/>
        <v>113.97583892586867</v>
      </c>
      <c r="F46" s="65">
        <f>1600.711+161.5</f>
        <v>1762.211</v>
      </c>
      <c r="G46" s="22">
        <f t="shared" si="7"/>
        <v>125.47516515435575</v>
      </c>
      <c r="H46" s="15"/>
      <c r="I46" s="66"/>
      <c r="J46" s="28">
        <v>1053.9000000000001</v>
      </c>
      <c r="K46" s="22">
        <f t="shared" ref="K46:K48" si="20">SUM(J46/D46)*100</f>
        <v>65.839492575486773</v>
      </c>
      <c r="L46" s="22">
        <f t="shared" ref="L46:L48" si="21">SUM(J46/F46)*100</f>
        <v>59.805551094619204</v>
      </c>
      <c r="M46" s="30"/>
      <c r="N46" s="28">
        <v>641.70000000000005</v>
      </c>
      <c r="O46" s="26">
        <f t="shared" ref="O46:O48" si="22">SUM(N46/J46)*100</f>
        <v>60.888129803586679</v>
      </c>
      <c r="P46" s="67"/>
      <c r="Q46" s="28">
        <v>631.5</v>
      </c>
      <c r="R46" s="26">
        <f t="shared" si="11"/>
        <v>98.410472183263195</v>
      </c>
      <c r="S46" s="70"/>
    </row>
    <row r="47" spans="1:19" s="27" customFormat="1" ht="30">
      <c r="A47" s="63" t="s">
        <v>85</v>
      </c>
      <c r="B47" s="64" t="s">
        <v>86</v>
      </c>
      <c r="C47" s="65">
        <v>0</v>
      </c>
      <c r="D47" s="65">
        <v>0</v>
      </c>
      <c r="E47" s="22" t="e">
        <f t="shared" si="6"/>
        <v>#DIV/0!</v>
      </c>
      <c r="F47" s="65">
        <v>0</v>
      </c>
      <c r="G47" s="22" t="e">
        <f t="shared" si="7"/>
        <v>#DIV/0!</v>
      </c>
      <c r="H47" s="15"/>
      <c r="I47" s="70"/>
      <c r="J47" s="28">
        <v>0</v>
      </c>
      <c r="K47" s="22" t="e">
        <f t="shared" si="20"/>
        <v>#DIV/0!</v>
      </c>
      <c r="L47" s="22" t="e">
        <f t="shared" si="21"/>
        <v>#DIV/0!</v>
      </c>
      <c r="M47" s="30"/>
      <c r="N47" s="28">
        <v>0</v>
      </c>
      <c r="O47" s="26" t="e">
        <f t="shared" si="22"/>
        <v>#DIV/0!</v>
      </c>
      <c r="P47" s="67"/>
      <c r="Q47" s="28">
        <v>0</v>
      </c>
      <c r="R47" s="26" t="e">
        <f t="shared" si="11"/>
        <v>#DIV/0!</v>
      </c>
      <c r="S47" s="66"/>
    </row>
    <row r="48" spans="1:19" s="27" customFormat="1" ht="15.75">
      <c r="A48" s="63" t="s">
        <v>87</v>
      </c>
      <c r="B48" s="64" t="s">
        <v>88</v>
      </c>
      <c r="C48" s="65">
        <v>2921.6096200000002</v>
      </c>
      <c r="D48" s="65">
        <v>2221.6</v>
      </c>
      <c r="E48" s="22">
        <f t="shared" si="6"/>
        <v>76.040275360265269</v>
      </c>
      <c r="F48" s="65">
        <f>2221.6+60+992.5</f>
        <v>3274.1</v>
      </c>
      <c r="G48" s="22">
        <f t="shared" si="7"/>
        <v>112.06493768322134</v>
      </c>
      <c r="H48" s="15"/>
      <c r="I48" s="70"/>
      <c r="J48" s="28">
        <v>2281.6</v>
      </c>
      <c r="K48" s="22">
        <f t="shared" si="20"/>
        <v>102.70075621173929</v>
      </c>
      <c r="L48" s="22">
        <f t="shared" si="21"/>
        <v>69.686326013255552</v>
      </c>
      <c r="M48" s="30"/>
      <c r="N48" s="28">
        <v>1996.9</v>
      </c>
      <c r="O48" s="26">
        <f t="shared" si="22"/>
        <v>87.52191444600281</v>
      </c>
      <c r="P48" s="67"/>
      <c r="Q48" s="28">
        <v>1962.1</v>
      </c>
      <c r="R48" s="26">
        <f t="shared" si="11"/>
        <v>98.257298813160389</v>
      </c>
      <c r="S48" s="66"/>
    </row>
    <row r="49" spans="1:19" s="27" customFormat="1" ht="15.75">
      <c r="A49" s="63" t="s">
        <v>89</v>
      </c>
      <c r="B49" s="64" t="s">
        <v>90</v>
      </c>
      <c r="C49" s="65">
        <v>0</v>
      </c>
      <c r="D49" s="69">
        <v>0</v>
      </c>
      <c r="E49" s="22" t="e">
        <f t="shared" si="6"/>
        <v>#DIV/0!</v>
      </c>
      <c r="F49" s="69">
        <v>0</v>
      </c>
      <c r="G49" s="22" t="e">
        <f t="shared" si="7"/>
        <v>#DIV/0!</v>
      </c>
      <c r="H49" s="15"/>
      <c r="I49" s="66"/>
      <c r="J49" s="28">
        <v>0</v>
      </c>
      <c r="K49" s="22" t="e">
        <f t="shared" ref="K49:K50" si="23">SUM(J49/D49)*100</f>
        <v>#DIV/0!</v>
      </c>
      <c r="L49" s="22" t="e">
        <f t="shared" ref="L49:L50" si="24">SUM(J49/F49)*100</f>
        <v>#DIV/0!</v>
      </c>
      <c r="M49" s="30"/>
      <c r="N49" s="28">
        <v>0</v>
      </c>
      <c r="O49" s="26" t="e">
        <f t="shared" si="14"/>
        <v>#DIV/0!</v>
      </c>
      <c r="P49" s="67"/>
      <c r="Q49" s="28">
        <v>0</v>
      </c>
      <c r="R49" s="26" t="e">
        <f t="shared" si="11"/>
        <v>#DIV/0!</v>
      </c>
      <c r="S49" s="66"/>
    </row>
    <row r="50" spans="1:19" s="27" customFormat="1" ht="30">
      <c r="A50" s="63" t="s">
        <v>91</v>
      </c>
      <c r="B50" s="64" t="s">
        <v>92</v>
      </c>
      <c r="C50" s="65">
        <v>0</v>
      </c>
      <c r="D50" s="65">
        <v>0</v>
      </c>
      <c r="E50" s="22" t="e">
        <f t="shared" si="6"/>
        <v>#DIV/0!</v>
      </c>
      <c r="F50" s="65">
        <v>0</v>
      </c>
      <c r="G50" s="22" t="e">
        <f t="shared" si="7"/>
        <v>#DIV/0!</v>
      </c>
      <c r="H50" s="15"/>
      <c r="I50" s="70"/>
      <c r="J50" s="28">
        <v>39</v>
      </c>
      <c r="K50" s="22" t="e">
        <f t="shared" si="23"/>
        <v>#DIV/0!</v>
      </c>
      <c r="L50" s="22" t="e">
        <f t="shared" si="24"/>
        <v>#DIV/0!</v>
      </c>
      <c r="M50" s="30"/>
      <c r="N50" s="28">
        <v>9</v>
      </c>
      <c r="O50" s="26">
        <f t="shared" si="14"/>
        <v>23.076923076923077</v>
      </c>
      <c r="P50" s="67"/>
      <c r="Q50" s="28">
        <v>9</v>
      </c>
      <c r="R50" s="26">
        <f t="shared" si="11"/>
        <v>100</v>
      </c>
      <c r="S50" s="66"/>
    </row>
    <row r="51" spans="1:19" s="62" customFormat="1" ht="15.75">
      <c r="A51" s="56" t="s">
        <v>93</v>
      </c>
      <c r="B51" s="57" t="s">
        <v>94</v>
      </c>
      <c r="C51" s="58">
        <f>SUM(C52:C61)</f>
        <v>17892.189719999998</v>
      </c>
      <c r="D51" s="58">
        <f>SUM(D52:D61)</f>
        <v>21812.3423</v>
      </c>
      <c r="E51" s="39">
        <f t="shared" si="6"/>
        <v>121.90985363640556</v>
      </c>
      <c r="F51" s="58">
        <f>SUM(F52:F61)</f>
        <v>21812.3423</v>
      </c>
      <c r="G51" s="39">
        <f t="shared" si="7"/>
        <v>121.90985363640556</v>
      </c>
      <c r="H51" s="40"/>
      <c r="I51" s="59"/>
      <c r="J51" s="58">
        <f>SUM(J52:J61)</f>
        <v>13333.000000000002</v>
      </c>
      <c r="K51" s="22">
        <f t="shared" si="12"/>
        <v>61.125943360975043</v>
      </c>
      <c r="L51" s="22">
        <f t="shared" si="13"/>
        <v>61.125943360975043</v>
      </c>
      <c r="M51" s="60"/>
      <c r="N51" s="58">
        <f>SUM(N52:N61)</f>
        <v>13986.300000000001</v>
      </c>
      <c r="O51" s="26">
        <f t="shared" si="14"/>
        <v>104.89987249681241</v>
      </c>
      <c r="P51" s="61"/>
      <c r="Q51" s="58">
        <f>SUM(Q52:Q61)</f>
        <v>18273.100000000002</v>
      </c>
      <c r="R51" s="26">
        <f t="shared" si="11"/>
        <v>130.64999320763891</v>
      </c>
      <c r="S51" s="59"/>
    </row>
    <row r="52" spans="1:19" s="27" customFormat="1" ht="15.75">
      <c r="A52" s="63" t="s">
        <v>95</v>
      </c>
      <c r="B52" s="64" t="s">
        <v>96</v>
      </c>
      <c r="C52" s="65">
        <v>0</v>
      </c>
      <c r="D52" s="65">
        <v>0</v>
      </c>
      <c r="E52" s="22" t="e">
        <f t="shared" si="6"/>
        <v>#DIV/0!</v>
      </c>
      <c r="F52" s="65">
        <v>0</v>
      </c>
      <c r="G52" s="22" t="e">
        <f t="shared" si="7"/>
        <v>#DIV/0!</v>
      </c>
      <c r="H52" s="15"/>
      <c r="I52" s="70"/>
      <c r="J52" s="28">
        <v>0</v>
      </c>
      <c r="K52" s="22" t="e">
        <f t="shared" ref="K52:K53" si="25">SUM(J52/D52)*100</f>
        <v>#DIV/0!</v>
      </c>
      <c r="L52" s="22" t="e">
        <f t="shared" ref="L52:L53" si="26">SUM(J52/F52)*100</f>
        <v>#DIV/0!</v>
      </c>
      <c r="M52" s="30"/>
      <c r="N52" s="28">
        <v>0</v>
      </c>
      <c r="O52" s="26" t="e">
        <f t="shared" si="14"/>
        <v>#DIV/0!</v>
      </c>
      <c r="P52" s="67"/>
      <c r="Q52" s="28">
        <v>0</v>
      </c>
      <c r="R52" s="26" t="e">
        <f t="shared" si="11"/>
        <v>#DIV/0!</v>
      </c>
      <c r="S52" s="66"/>
    </row>
    <row r="53" spans="1:19" s="27" customFormat="1" ht="15.75">
      <c r="A53" s="63" t="s">
        <v>97</v>
      </c>
      <c r="B53" s="64" t="s">
        <v>98</v>
      </c>
      <c r="C53" s="65">
        <v>0</v>
      </c>
      <c r="D53" s="69">
        <v>0</v>
      </c>
      <c r="E53" s="22" t="e">
        <f t="shared" si="6"/>
        <v>#DIV/0!</v>
      </c>
      <c r="F53" s="69">
        <v>0</v>
      </c>
      <c r="G53" s="22" t="e">
        <f t="shared" si="7"/>
        <v>#DIV/0!</v>
      </c>
      <c r="H53" s="15"/>
      <c r="I53" s="66"/>
      <c r="J53" s="28">
        <v>0</v>
      </c>
      <c r="K53" s="22" t="e">
        <f t="shared" si="25"/>
        <v>#DIV/0!</v>
      </c>
      <c r="L53" s="22" t="e">
        <f t="shared" si="26"/>
        <v>#DIV/0!</v>
      </c>
      <c r="M53" s="30"/>
      <c r="N53" s="28">
        <v>0</v>
      </c>
      <c r="O53" s="26" t="e">
        <f t="shared" si="14"/>
        <v>#DIV/0!</v>
      </c>
      <c r="P53" s="67"/>
      <c r="Q53" s="28">
        <v>0</v>
      </c>
      <c r="R53" s="26" t="e">
        <f t="shared" si="11"/>
        <v>#DIV/0!</v>
      </c>
      <c r="S53" s="66"/>
    </row>
    <row r="54" spans="1:19" s="27" customFormat="1" ht="15.75">
      <c r="A54" s="63" t="s">
        <v>99</v>
      </c>
      <c r="B54" s="64" t="s">
        <v>100</v>
      </c>
      <c r="C54" s="65">
        <v>1214.82</v>
      </c>
      <c r="D54" s="65">
        <v>1454.2</v>
      </c>
      <c r="E54" s="22">
        <f t="shared" si="6"/>
        <v>119.70497686900119</v>
      </c>
      <c r="F54" s="65">
        <v>1454.2</v>
      </c>
      <c r="G54" s="22">
        <f t="shared" si="7"/>
        <v>119.70497686900119</v>
      </c>
      <c r="H54" s="15"/>
      <c r="I54" s="70"/>
      <c r="J54" s="28">
        <v>1557.6</v>
      </c>
      <c r="K54" s="22">
        <f t="shared" si="12"/>
        <v>107.11043872919817</v>
      </c>
      <c r="L54" s="22">
        <f t="shared" si="13"/>
        <v>107.11043872919817</v>
      </c>
      <c r="M54" s="70"/>
      <c r="N54" s="67">
        <v>1789</v>
      </c>
      <c r="O54" s="26">
        <f t="shared" si="14"/>
        <v>114.85618900873138</v>
      </c>
      <c r="P54" s="71"/>
      <c r="Q54" s="67">
        <v>2019.5</v>
      </c>
      <c r="R54" s="26">
        <f t="shared" si="11"/>
        <v>112.88429290106205</v>
      </c>
      <c r="S54" s="70"/>
    </row>
    <row r="55" spans="1:19" s="27" customFormat="1" ht="15.75">
      <c r="A55" s="63" t="s">
        <v>101</v>
      </c>
      <c r="B55" s="64" t="s">
        <v>102</v>
      </c>
      <c r="C55" s="65">
        <v>0</v>
      </c>
      <c r="D55" s="72">
        <v>0</v>
      </c>
      <c r="E55" s="22" t="e">
        <f t="shared" si="6"/>
        <v>#DIV/0!</v>
      </c>
      <c r="F55" s="72">
        <v>0</v>
      </c>
      <c r="G55" s="22" t="e">
        <f t="shared" si="7"/>
        <v>#DIV/0!</v>
      </c>
      <c r="H55" s="15"/>
      <c r="I55" s="66"/>
      <c r="J55" s="28">
        <v>0</v>
      </c>
      <c r="K55" s="22" t="e">
        <f t="shared" ref="K55:K57" si="27">SUM(J55/D55)*100</f>
        <v>#DIV/0!</v>
      </c>
      <c r="L55" s="22" t="e">
        <f t="shared" ref="L55:L57" si="28">SUM(J55/F55)*100</f>
        <v>#DIV/0!</v>
      </c>
      <c r="M55" s="30"/>
      <c r="N55" s="28">
        <v>0</v>
      </c>
      <c r="O55" s="26" t="e">
        <f t="shared" si="14"/>
        <v>#DIV/0!</v>
      </c>
      <c r="P55" s="67"/>
      <c r="Q55" s="28">
        <v>0</v>
      </c>
      <c r="R55" s="26" t="e">
        <f t="shared" si="11"/>
        <v>#DIV/0!</v>
      </c>
      <c r="S55" s="66"/>
    </row>
    <row r="56" spans="1:19" s="27" customFormat="1" ht="15.75">
      <c r="A56" s="63" t="s">
        <v>103</v>
      </c>
      <c r="B56" s="64" t="s">
        <v>104</v>
      </c>
      <c r="C56" s="65">
        <v>0</v>
      </c>
      <c r="D56" s="72">
        <v>0</v>
      </c>
      <c r="E56" s="22" t="e">
        <f t="shared" si="6"/>
        <v>#DIV/0!</v>
      </c>
      <c r="F56" s="72">
        <v>0</v>
      </c>
      <c r="G56" s="22" t="e">
        <f t="shared" si="7"/>
        <v>#DIV/0!</v>
      </c>
      <c r="H56" s="15"/>
      <c r="I56" s="66"/>
      <c r="J56" s="28">
        <v>0</v>
      </c>
      <c r="K56" s="22" t="e">
        <f t="shared" si="27"/>
        <v>#DIV/0!</v>
      </c>
      <c r="L56" s="22" t="e">
        <f t="shared" si="28"/>
        <v>#DIV/0!</v>
      </c>
      <c r="M56" s="30"/>
      <c r="N56" s="28">
        <v>0</v>
      </c>
      <c r="O56" s="26" t="e">
        <f t="shared" si="14"/>
        <v>#DIV/0!</v>
      </c>
      <c r="P56" s="67"/>
      <c r="Q56" s="28">
        <v>0</v>
      </c>
      <c r="R56" s="26" t="e">
        <f t="shared" si="11"/>
        <v>#DIV/0!</v>
      </c>
      <c r="S56" s="66"/>
    </row>
    <row r="57" spans="1:19" s="27" customFormat="1" ht="15.75">
      <c r="A57" s="63" t="s">
        <v>105</v>
      </c>
      <c r="B57" s="64" t="s">
        <v>106</v>
      </c>
      <c r="C57" s="65">
        <v>6340.0237200000001</v>
      </c>
      <c r="D57" s="72">
        <v>6303.0521500000004</v>
      </c>
      <c r="E57" s="22">
        <f t="shared" si="6"/>
        <v>99.416854389939104</v>
      </c>
      <c r="F57" s="72">
        <v>6303.0521500000004</v>
      </c>
      <c r="G57" s="22">
        <f t="shared" si="7"/>
        <v>99.416854389939104</v>
      </c>
      <c r="H57" s="15"/>
      <c r="I57" s="73"/>
      <c r="J57" s="28">
        <v>0</v>
      </c>
      <c r="K57" s="22">
        <f t="shared" si="27"/>
        <v>0</v>
      </c>
      <c r="L57" s="22">
        <f t="shared" si="28"/>
        <v>0</v>
      </c>
      <c r="M57" s="30"/>
      <c r="N57" s="28">
        <v>0</v>
      </c>
      <c r="O57" s="26" t="e">
        <f t="shared" si="14"/>
        <v>#DIV/0!</v>
      </c>
      <c r="P57" s="67"/>
      <c r="Q57" s="28">
        <v>0</v>
      </c>
      <c r="R57" s="26" t="e">
        <f t="shared" si="11"/>
        <v>#DIV/0!</v>
      </c>
      <c r="S57" s="66"/>
    </row>
    <row r="58" spans="1:19" s="27" customFormat="1" ht="15.75">
      <c r="A58" s="63" t="s">
        <v>107</v>
      </c>
      <c r="B58" s="64" t="s">
        <v>108</v>
      </c>
      <c r="C58" s="65">
        <v>9745.3459999999995</v>
      </c>
      <c r="D58" s="65">
        <v>11815.159830000001</v>
      </c>
      <c r="E58" s="22">
        <f t="shared" si="6"/>
        <v>121.23899787652486</v>
      </c>
      <c r="F58" s="65">
        <v>11815.159830000001</v>
      </c>
      <c r="G58" s="22">
        <f t="shared" si="7"/>
        <v>121.23899787652486</v>
      </c>
      <c r="H58" s="15"/>
      <c r="I58" s="66"/>
      <c r="J58" s="28">
        <v>11770.7</v>
      </c>
      <c r="K58" s="22">
        <f t="shared" si="12"/>
        <v>99.623705217367345</v>
      </c>
      <c r="L58" s="22">
        <f t="shared" si="13"/>
        <v>99.623705217367345</v>
      </c>
      <c r="M58" s="30"/>
      <c r="N58" s="67">
        <v>12192.6</v>
      </c>
      <c r="O58" s="26">
        <f t="shared" si="14"/>
        <v>103.58432378703051</v>
      </c>
      <c r="P58" s="67"/>
      <c r="Q58" s="67">
        <v>16248.9</v>
      </c>
      <c r="R58" s="26">
        <f t="shared" si="11"/>
        <v>133.26853993405837</v>
      </c>
      <c r="S58" s="66"/>
    </row>
    <row r="59" spans="1:19" s="27" customFormat="1" ht="15.75">
      <c r="A59" s="63" t="s">
        <v>109</v>
      </c>
      <c r="B59" s="64" t="s">
        <v>110</v>
      </c>
      <c r="C59" s="65">
        <v>0</v>
      </c>
      <c r="D59" s="72">
        <v>0</v>
      </c>
      <c r="E59" s="22" t="e">
        <f t="shared" si="6"/>
        <v>#DIV/0!</v>
      </c>
      <c r="F59" s="72">
        <v>0</v>
      </c>
      <c r="G59" s="22" t="e">
        <f t="shared" si="7"/>
        <v>#DIV/0!</v>
      </c>
      <c r="H59" s="15"/>
      <c r="I59" s="73"/>
      <c r="J59" s="28">
        <v>0</v>
      </c>
      <c r="K59" s="22" t="e">
        <f t="shared" ref="K59:K60" si="29">SUM(J59/D59)*100</f>
        <v>#DIV/0!</v>
      </c>
      <c r="L59" s="22" t="e">
        <f t="shared" ref="L59:L60" si="30">SUM(J59/F59)*100</f>
        <v>#DIV/0!</v>
      </c>
      <c r="M59" s="30"/>
      <c r="N59" s="28">
        <v>0</v>
      </c>
      <c r="O59" s="26" t="e">
        <f t="shared" ref="O59:O60" si="31">SUM(N59/J59)*100</f>
        <v>#DIV/0!</v>
      </c>
      <c r="P59" s="67"/>
      <c r="Q59" s="28">
        <v>0</v>
      </c>
      <c r="R59" s="26" t="e">
        <f t="shared" si="11"/>
        <v>#DIV/0!</v>
      </c>
      <c r="S59" s="66"/>
    </row>
    <row r="60" spans="1:19" s="27" customFormat="1" ht="30">
      <c r="A60" s="63" t="s">
        <v>111</v>
      </c>
      <c r="B60" s="64" t="s">
        <v>112</v>
      </c>
      <c r="C60" s="65">
        <v>0</v>
      </c>
      <c r="D60" s="65">
        <v>0</v>
      </c>
      <c r="E60" s="22" t="e">
        <f t="shared" si="6"/>
        <v>#DIV/0!</v>
      </c>
      <c r="F60" s="65">
        <v>0</v>
      </c>
      <c r="G60" s="22" t="e">
        <f t="shared" si="7"/>
        <v>#DIV/0!</v>
      </c>
      <c r="H60" s="15"/>
      <c r="I60" s="70"/>
      <c r="J60" s="28">
        <v>0</v>
      </c>
      <c r="K60" s="22" t="e">
        <f t="shared" si="29"/>
        <v>#DIV/0!</v>
      </c>
      <c r="L60" s="22" t="e">
        <f t="shared" si="30"/>
        <v>#DIV/0!</v>
      </c>
      <c r="M60" s="30"/>
      <c r="N60" s="28">
        <v>0</v>
      </c>
      <c r="O60" s="26" t="e">
        <f t="shared" si="31"/>
        <v>#DIV/0!</v>
      </c>
      <c r="P60" s="67"/>
      <c r="Q60" s="28">
        <v>0</v>
      </c>
      <c r="R60" s="26" t="e">
        <f t="shared" si="11"/>
        <v>#DIV/0!</v>
      </c>
      <c r="S60" s="70"/>
    </row>
    <row r="61" spans="1:19" s="27" customFormat="1" ht="15.75">
      <c r="A61" s="63" t="s">
        <v>113</v>
      </c>
      <c r="B61" s="64" t="s">
        <v>114</v>
      </c>
      <c r="C61" s="65">
        <v>592</v>
      </c>
      <c r="D61" s="65">
        <v>2239.9303199999999</v>
      </c>
      <c r="E61" s="22">
        <f t="shared" si="6"/>
        <v>378.3666081081081</v>
      </c>
      <c r="F61" s="65">
        <v>2239.9303199999999</v>
      </c>
      <c r="G61" s="22">
        <f t="shared" si="7"/>
        <v>378.3666081081081</v>
      </c>
      <c r="H61" s="15"/>
      <c r="I61" s="73"/>
      <c r="J61" s="28">
        <v>4.7</v>
      </c>
      <c r="K61" s="22">
        <f t="shared" si="12"/>
        <v>0.20982795571962259</v>
      </c>
      <c r="L61" s="22">
        <f t="shared" si="13"/>
        <v>0.20982795571962259</v>
      </c>
      <c r="M61" s="30"/>
      <c r="N61" s="28">
        <v>4.7</v>
      </c>
      <c r="O61" s="26">
        <f t="shared" si="14"/>
        <v>100</v>
      </c>
      <c r="P61" s="67"/>
      <c r="Q61" s="28">
        <v>4.7</v>
      </c>
      <c r="R61" s="26">
        <f t="shared" si="11"/>
        <v>100</v>
      </c>
      <c r="S61" s="66"/>
    </row>
    <row r="62" spans="1:19" s="62" customFormat="1" ht="15.75">
      <c r="A62" s="56" t="s">
        <v>115</v>
      </c>
      <c r="B62" s="57" t="s">
        <v>116</v>
      </c>
      <c r="C62" s="58">
        <f>SUM(C63:C67)</f>
        <v>494.27429000000001</v>
      </c>
      <c r="D62" s="58">
        <f>SUM(D63:D67)</f>
        <v>11517.665999999999</v>
      </c>
      <c r="E62" s="39">
        <f t="shared" ref="E62:E93" si="32">SUM(D62/C62)*100</f>
        <v>2330.217499275554</v>
      </c>
      <c r="F62" s="58">
        <f>SUM(F63:F67)</f>
        <v>11867.665999999999</v>
      </c>
      <c r="G62" s="39">
        <f t="shared" ref="G62:G93" si="33">SUM(F62/C62)*100</f>
        <v>2401.0283844624</v>
      </c>
      <c r="H62" s="40"/>
      <c r="I62" s="59"/>
      <c r="J62" s="58">
        <f>SUM(J63:J67)</f>
        <v>11</v>
      </c>
      <c r="K62" s="22">
        <f t="shared" si="12"/>
        <v>9.5505460915432008E-2</v>
      </c>
      <c r="L62" s="22">
        <f t="shared" si="13"/>
        <v>9.2688823564802042E-2</v>
      </c>
      <c r="M62" s="60"/>
      <c r="N62" s="58">
        <f>SUM(N63:N67)</f>
        <v>4.7</v>
      </c>
      <c r="O62" s="26">
        <f t="shared" si="14"/>
        <v>42.727272727272734</v>
      </c>
      <c r="P62" s="74"/>
      <c r="Q62" s="58">
        <f>SUM(Q63:Q67)</f>
        <v>4.7</v>
      </c>
      <c r="R62" s="26">
        <f t="shared" si="11"/>
        <v>100</v>
      </c>
      <c r="S62" s="59"/>
    </row>
    <row r="63" spans="1:19" s="27" customFormat="1" ht="15.75">
      <c r="A63" s="63" t="s">
        <v>117</v>
      </c>
      <c r="B63" s="64" t="s">
        <v>118</v>
      </c>
      <c r="C63" s="65">
        <v>494.27429000000001</v>
      </c>
      <c r="D63" s="65">
        <v>11506.665999999999</v>
      </c>
      <c r="E63" s="22">
        <f t="shared" si="32"/>
        <v>2327.9920143125387</v>
      </c>
      <c r="F63" s="65">
        <v>11506.665999999999</v>
      </c>
      <c r="G63" s="22">
        <f t="shared" si="33"/>
        <v>2327.9920143125387</v>
      </c>
      <c r="H63" s="15"/>
      <c r="I63" s="70"/>
      <c r="J63" s="28">
        <v>0</v>
      </c>
      <c r="K63" s="22">
        <f t="shared" si="12"/>
        <v>0</v>
      </c>
      <c r="L63" s="22">
        <f t="shared" si="13"/>
        <v>0</v>
      </c>
      <c r="M63" s="30"/>
      <c r="N63" s="67"/>
      <c r="O63" s="26" t="e">
        <f t="shared" si="14"/>
        <v>#DIV/0!</v>
      </c>
      <c r="P63" s="67"/>
      <c r="Q63" s="67"/>
      <c r="R63" s="26" t="e">
        <f t="shared" si="11"/>
        <v>#DIV/0!</v>
      </c>
      <c r="S63" s="66"/>
    </row>
    <row r="64" spans="1:19" s="27" customFormat="1" ht="15.75">
      <c r="A64" s="63" t="s">
        <v>119</v>
      </c>
      <c r="B64" s="64" t="s">
        <v>120</v>
      </c>
      <c r="C64" s="65">
        <v>0</v>
      </c>
      <c r="D64" s="65">
        <v>0</v>
      </c>
      <c r="E64" s="22" t="e">
        <f t="shared" si="32"/>
        <v>#DIV/0!</v>
      </c>
      <c r="F64" s="65">
        <v>350</v>
      </c>
      <c r="G64" s="22" t="e">
        <f t="shared" si="33"/>
        <v>#DIV/0!</v>
      </c>
      <c r="H64" s="15"/>
      <c r="I64" s="66"/>
      <c r="J64" s="28">
        <v>0</v>
      </c>
      <c r="K64" s="22" t="e">
        <f t="shared" si="12"/>
        <v>#DIV/0!</v>
      </c>
      <c r="L64" s="22">
        <f t="shared" si="13"/>
        <v>0</v>
      </c>
      <c r="M64" s="30"/>
      <c r="N64" s="67"/>
      <c r="O64" s="26" t="e">
        <f t="shared" si="14"/>
        <v>#DIV/0!</v>
      </c>
      <c r="P64" s="67"/>
      <c r="Q64" s="67"/>
      <c r="R64" s="26" t="e">
        <f t="shared" si="11"/>
        <v>#DIV/0!</v>
      </c>
      <c r="S64" s="66"/>
    </row>
    <row r="65" spans="1:19" s="27" customFormat="1" ht="15.75">
      <c r="A65" s="63" t="s">
        <v>121</v>
      </c>
      <c r="B65" s="64" t="s">
        <v>122</v>
      </c>
      <c r="C65" s="65">
        <v>0</v>
      </c>
      <c r="D65" s="65">
        <v>11</v>
      </c>
      <c r="E65" s="22" t="e">
        <f t="shared" si="32"/>
        <v>#DIV/0!</v>
      </c>
      <c r="F65" s="65">
        <v>11</v>
      </c>
      <c r="G65" s="22" t="e">
        <f t="shared" si="33"/>
        <v>#DIV/0!</v>
      </c>
      <c r="H65" s="15"/>
      <c r="I65" s="70"/>
      <c r="J65" s="28">
        <v>11</v>
      </c>
      <c r="K65" s="22">
        <f t="shared" si="12"/>
        <v>100</v>
      </c>
      <c r="L65" s="22">
        <f t="shared" si="13"/>
        <v>100</v>
      </c>
      <c r="M65" s="30"/>
      <c r="N65" s="67">
        <v>4.7</v>
      </c>
      <c r="O65" s="26">
        <f t="shared" si="14"/>
        <v>42.727272727272734</v>
      </c>
      <c r="P65" s="67"/>
      <c r="Q65" s="67">
        <v>4.7</v>
      </c>
      <c r="R65" s="26">
        <f t="shared" si="11"/>
        <v>100</v>
      </c>
      <c r="S65" s="66"/>
    </row>
    <row r="66" spans="1:19" s="27" customFormat="1" ht="30">
      <c r="A66" s="63" t="s">
        <v>123</v>
      </c>
      <c r="B66" s="64" t="s">
        <v>124</v>
      </c>
      <c r="C66" s="65">
        <v>0</v>
      </c>
      <c r="D66" s="69">
        <v>0</v>
      </c>
      <c r="E66" s="22" t="e">
        <f t="shared" si="32"/>
        <v>#DIV/0!</v>
      </c>
      <c r="F66" s="69">
        <v>0</v>
      </c>
      <c r="G66" s="22" t="e">
        <f t="shared" si="33"/>
        <v>#DIV/0!</v>
      </c>
      <c r="H66" s="15"/>
      <c r="I66" s="66"/>
      <c r="J66" s="28">
        <v>0</v>
      </c>
      <c r="K66" s="22" t="e">
        <f t="shared" ref="K66:K67" si="34">SUM(J66/D66)*100</f>
        <v>#DIV/0!</v>
      </c>
      <c r="L66" s="22" t="e">
        <f t="shared" ref="L66:L67" si="35">SUM(J66/F66)*100</f>
        <v>#DIV/0!</v>
      </c>
      <c r="M66" s="30"/>
      <c r="N66" s="67"/>
      <c r="O66" s="26" t="e">
        <f t="shared" ref="O66:O67" si="36">SUM(N66/J66)*100</f>
        <v>#DIV/0!</v>
      </c>
      <c r="P66" s="67"/>
      <c r="Q66" s="67"/>
      <c r="R66" s="26" t="e">
        <f t="shared" si="11"/>
        <v>#DIV/0!</v>
      </c>
      <c r="S66" s="66"/>
    </row>
    <row r="67" spans="1:19" s="27" customFormat="1" ht="15.75">
      <c r="A67" s="63" t="s">
        <v>125</v>
      </c>
      <c r="B67" s="64" t="s">
        <v>126</v>
      </c>
      <c r="C67" s="65">
        <v>0</v>
      </c>
      <c r="D67" s="65">
        <v>0</v>
      </c>
      <c r="E67" s="22" t="e">
        <f t="shared" si="32"/>
        <v>#DIV/0!</v>
      </c>
      <c r="F67" s="65">
        <v>0</v>
      </c>
      <c r="G67" s="22" t="e">
        <f t="shared" si="33"/>
        <v>#DIV/0!</v>
      </c>
      <c r="H67" s="15"/>
      <c r="I67" s="70"/>
      <c r="J67" s="28">
        <v>0</v>
      </c>
      <c r="K67" s="22" t="e">
        <f t="shared" si="34"/>
        <v>#DIV/0!</v>
      </c>
      <c r="L67" s="22" t="e">
        <f t="shared" si="35"/>
        <v>#DIV/0!</v>
      </c>
      <c r="M67" s="30"/>
      <c r="N67" s="67"/>
      <c r="O67" s="26" t="e">
        <f t="shared" si="36"/>
        <v>#DIV/0!</v>
      </c>
      <c r="P67" s="67"/>
      <c r="Q67" s="67"/>
      <c r="R67" s="26" t="e">
        <f t="shared" si="11"/>
        <v>#DIV/0!</v>
      </c>
      <c r="S67" s="66"/>
    </row>
    <row r="68" spans="1:19" s="62" customFormat="1" ht="22.5" customHeight="1">
      <c r="A68" s="56" t="s">
        <v>127</v>
      </c>
      <c r="B68" s="57" t="s">
        <v>128</v>
      </c>
      <c r="C68" s="58">
        <v>0</v>
      </c>
      <c r="D68" s="58">
        <f>SUM(D69:D71)</f>
        <v>2788.9431599999998</v>
      </c>
      <c r="E68" s="39" t="e">
        <f t="shared" si="32"/>
        <v>#DIV/0!</v>
      </c>
      <c r="F68" s="58">
        <f>SUM(F69:F71)</f>
        <v>2788.9431599999998</v>
      </c>
      <c r="G68" s="39" t="e">
        <f t="shared" si="33"/>
        <v>#DIV/0!</v>
      </c>
      <c r="H68" s="75"/>
      <c r="I68" s="59"/>
      <c r="J68" s="58">
        <f>SUM(J69:J71)</f>
        <v>630</v>
      </c>
      <c r="K68" s="22">
        <f t="shared" ref="K68:K98" si="37">SUM(J68/D68)*100</f>
        <v>22.589201853794684</v>
      </c>
      <c r="L68" s="22">
        <f t="shared" ref="L68:L98" si="38">SUM(J68/F68)*100</f>
        <v>22.589201853794684</v>
      </c>
      <c r="M68" s="76"/>
      <c r="N68" s="58">
        <f>SUM(N69:N71)</f>
        <v>630</v>
      </c>
      <c r="O68" s="26">
        <f t="shared" ref="O68:O98" si="39">SUM(N68/J68)*100</f>
        <v>100</v>
      </c>
      <c r="P68" s="74"/>
      <c r="Q68" s="58">
        <f>SUM(Q69:Q71)</f>
        <v>630</v>
      </c>
      <c r="R68" s="26">
        <f t="shared" ref="R68:R99" si="40">SUM(Q68/N68)*100</f>
        <v>100</v>
      </c>
      <c r="S68" s="59"/>
    </row>
    <row r="69" spans="1:19" s="27" customFormat="1" ht="15.75">
      <c r="A69" s="63" t="s">
        <v>129</v>
      </c>
      <c r="B69" s="64" t="s">
        <v>130</v>
      </c>
      <c r="C69" s="65">
        <v>0</v>
      </c>
      <c r="D69" s="69">
        <v>0</v>
      </c>
      <c r="E69" s="22" t="e">
        <f t="shared" si="32"/>
        <v>#DIV/0!</v>
      </c>
      <c r="F69" s="69">
        <v>0</v>
      </c>
      <c r="G69" s="22" t="e">
        <f t="shared" si="33"/>
        <v>#DIV/0!</v>
      </c>
      <c r="H69" s="15"/>
      <c r="I69" s="66"/>
      <c r="J69" s="28">
        <v>0</v>
      </c>
      <c r="K69" s="22" t="e">
        <f t="shared" ref="K69" si="41">SUM(J69/D69)*100</f>
        <v>#DIV/0!</v>
      </c>
      <c r="L69" s="22" t="e">
        <f t="shared" si="38"/>
        <v>#DIV/0!</v>
      </c>
      <c r="M69" s="30"/>
      <c r="N69" s="28">
        <v>0</v>
      </c>
      <c r="O69" s="26" t="e">
        <f t="shared" si="39"/>
        <v>#DIV/0!</v>
      </c>
      <c r="P69" s="67"/>
      <c r="Q69" s="28">
        <v>0</v>
      </c>
      <c r="R69" s="26" t="e">
        <f t="shared" si="40"/>
        <v>#DIV/0!</v>
      </c>
      <c r="S69" s="66"/>
    </row>
    <row r="70" spans="1:19" s="27" customFormat="1" ht="30">
      <c r="A70" s="63" t="s">
        <v>131</v>
      </c>
      <c r="B70" s="64" t="s">
        <v>132</v>
      </c>
      <c r="C70" s="65">
        <v>0</v>
      </c>
      <c r="D70" s="65">
        <v>0</v>
      </c>
      <c r="E70" s="22" t="e">
        <f t="shared" si="32"/>
        <v>#DIV/0!</v>
      </c>
      <c r="F70" s="65">
        <v>0</v>
      </c>
      <c r="G70" s="22" t="e">
        <f t="shared" si="33"/>
        <v>#DIV/0!</v>
      </c>
      <c r="H70" s="15"/>
      <c r="I70" s="70"/>
      <c r="J70" s="28">
        <v>630</v>
      </c>
      <c r="K70" s="22" t="e">
        <f t="shared" si="37"/>
        <v>#DIV/0!</v>
      </c>
      <c r="L70" s="22" t="e">
        <f t="shared" si="38"/>
        <v>#DIV/0!</v>
      </c>
      <c r="M70" s="70"/>
      <c r="N70" s="67">
        <v>630</v>
      </c>
      <c r="O70" s="26">
        <f t="shared" si="39"/>
        <v>100</v>
      </c>
      <c r="P70" s="71"/>
      <c r="Q70" s="67">
        <v>630</v>
      </c>
      <c r="R70" s="26">
        <f t="shared" si="40"/>
        <v>100</v>
      </c>
      <c r="S70" s="66"/>
    </row>
    <row r="71" spans="1:19" s="27" customFormat="1" ht="15.75">
      <c r="A71" s="63" t="s">
        <v>133</v>
      </c>
      <c r="B71" s="64" t="s">
        <v>134</v>
      </c>
      <c r="C71" s="65">
        <v>0</v>
      </c>
      <c r="D71" s="72">
        <v>2788.9431599999998</v>
      </c>
      <c r="E71" s="22" t="e">
        <f t="shared" si="32"/>
        <v>#DIV/0!</v>
      </c>
      <c r="F71" s="72">
        <v>2788.9431599999998</v>
      </c>
      <c r="G71" s="22" t="e">
        <f t="shared" si="33"/>
        <v>#DIV/0!</v>
      </c>
      <c r="H71" s="15"/>
      <c r="I71" s="66"/>
      <c r="J71" s="28">
        <v>0</v>
      </c>
      <c r="K71" s="22">
        <f t="shared" ref="K71" si="42">SUM(J71/D71)*100</f>
        <v>0</v>
      </c>
      <c r="L71" s="22">
        <f t="shared" si="38"/>
        <v>0</v>
      </c>
      <c r="M71" s="30"/>
      <c r="N71" s="28">
        <v>0</v>
      </c>
      <c r="O71" s="26" t="e">
        <f t="shared" si="39"/>
        <v>#DIV/0!</v>
      </c>
      <c r="P71" s="67"/>
      <c r="Q71" s="28">
        <v>0</v>
      </c>
      <c r="R71" s="26" t="e">
        <f t="shared" si="40"/>
        <v>#DIV/0!</v>
      </c>
      <c r="S71" s="66"/>
    </row>
    <row r="72" spans="1:19" s="62" customFormat="1" ht="15.75">
      <c r="A72" s="56" t="s">
        <v>135</v>
      </c>
      <c r="B72" s="57" t="s">
        <v>136</v>
      </c>
      <c r="C72" s="58">
        <f>SUM(C73:C81)</f>
        <v>394481.80969000002</v>
      </c>
      <c r="D72" s="58">
        <f>SUM(D73:D81)</f>
        <v>330627.18044999999</v>
      </c>
      <c r="E72" s="39">
        <f t="shared" si="32"/>
        <v>83.813035817753018</v>
      </c>
      <c r="F72" s="58">
        <f>SUM(F73:F81)</f>
        <v>342683.98045000003</v>
      </c>
      <c r="G72" s="39">
        <f t="shared" si="33"/>
        <v>86.869399813211956</v>
      </c>
      <c r="H72" s="75"/>
      <c r="I72" s="77"/>
      <c r="J72" s="58">
        <f>SUM(J73:J81)</f>
        <v>293111.8</v>
      </c>
      <c r="K72" s="22">
        <f t="shared" si="37"/>
        <v>88.653267889548673</v>
      </c>
      <c r="L72" s="22">
        <f t="shared" si="38"/>
        <v>85.53414128524372</v>
      </c>
      <c r="M72" s="77"/>
      <c r="N72" s="58">
        <f>SUM(N73:N81)</f>
        <v>268405.19999999995</v>
      </c>
      <c r="O72" s="26">
        <f t="shared" si="39"/>
        <v>91.570929590688593</v>
      </c>
      <c r="P72" s="77"/>
      <c r="Q72" s="58">
        <f>SUM(Q73:Q81)</f>
        <v>282737</v>
      </c>
      <c r="R72" s="26">
        <f t="shared" si="40"/>
        <v>105.33961339050065</v>
      </c>
      <c r="S72" s="77"/>
    </row>
    <row r="73" spans="1:19" s="27" customFormat="1" ht="15.75">
      <c r="A73" s="63" t="s">
        <v>137</v>
      </c>
      <c r="B73" s="64" t="s">
        <v>138</v>
      </c>
      <c r="C73" s="65">
        <v>64853</v>
      </c>
      <c r="D73" s="65">
        <v>76395.7</v>
      </c>
      <c r="E73" s="22">
        <f t="shared" si="32"/>
        <v>117.79825143015744</v>
      </c>
      <c r="F73" s="65">
        <f>76395.7+40+288.3</f>
        <v>76724</v>
      </c>
      <c r="G73" s="22">
        <f t="shared" si="33"/>
        <v>118.3044731932216</v>
      </c>
      <c r="H73" s="15"/>
      <c r="I73" s="22"/>
      <c r="J73" s="78">
        <v>71334.899999999994</v>
      </c>
      <c r="K73" s="22">
        <f t="shared" si="37"/>
        <v>93.375543387913183</v>
      </c>
      <c r="L73" s="22">
        <f t="shared" si="38"/>
        <v>92.975991866951674</v>
      </c>
      <c r="M73" s="22"/>
      <c r="N73" s="78">
        <v>63628.7</v>
      </c>
      <c r="O73" s="26">
        <f t="shared" si="39"/>
        <v>89.197153146636495</v>
      </c>
      <c r="P73" s="22"/>
      <c r="Q73" s="78">
        <v>66811.600000000006</v>
      </c>
      <c r="R73" s="26">
        <f t="shared" si="40"/>
        <v>105.00230242013433</v>
      </c>
      <c r="S73" s="22"/>
    </row>
    <row r="74" spans="1:19" s="27" customFormat="1" ht="15.75">
      <c r="A74" s="63" t="s">
        <v>139</v>
      </c>
      <c r="B74" s="64" t="s">
        <v>140</v>
      </c>
      <c r="C74" s="65">
        <v>307007.61783</v>
      </c>
      <c r="D74" s="65">
        <v>231057.59458999999</v>
      </c>
      <c r="E74" s="22">
        <f t="shared" si="32"/>
        <v>75.26119261247257</v>
      </c>
      <c r="F74" s="65">
        <f>231057.59459+600+2050</f>
        <v>233707.59458999999</v>
      </c>
      <c r="G74" s="22">
        <f t="shared" si="33"/>
        <v>76.12436337635485</v>
      </c>
      <c r="H74" s="15"/>
      <c r="I74" s="22"/>
      <c r="J74" s="78">
        <v>197445.2</v>
      </c>
      <c r="K74" s="22">
        <f t="shared" si="37"/>
        <v>85.452806842534883</v>
      </c>
      <c r="L74" s="22">
        <f t="shared" si="38"/>
        <v>84.483861273906754</v>
      </c>
      <c r="M74" s="22"/>
      <c r="N74" s="78">
        <v>187275.9</v>
      </c>
      <c r="O74" s="26">
        <f t="shared" si="39"/>
        <v>94.849558257177165</v>
      </c>
      <c r="P74" s="22"/>
      <c r="Q74" s="78">
        <v>196380.1</v>
      </c>
      <c r="R74" s="26">
        <f t="shared" si="40"/>
        <v>104.86138365908269</v>
      </c>
      <c r="S74" s="22"/>
    </row>
    <row r="75" spans="1:19" s="27" customFormat="1" ht="15.75">
      <c r="A75" s="63" t="s">
        <v>141</v>
      </c>
      <c r="B75" s="64" t="s">
        <v>142</v>
      </c>
      <c r="C75" s="65">
        <v>18515.227999999999</v>
      </c>
      <c r="D75" s="65">
        <v>18638.78586</v>
      </c>
      <c r="E75" s="22">
        <f t="shared" si="32"/>
        <v>100.66733102071441</v>
      </c>
      <c r="F75" s="65">
        <f>18638.78586+8086.3+107.4</f>
        <v>26832.485860000001</v>
      </c>
      <c r="G75" s="22">
        <f t="shared" si="33"/>
        <v>144.92117439763638</v>
      </c>
      <c r="H75" s="15"/>
      <c r="I75" s="22"/>
      <c r="J75" s="78">
        <v>19696.599999999999</v>
      </c>
      <c r="K75" s="22">
        <f t="shared" si="37"/>
        <v>105.67533823257304</v>
      </c>
      <c r="L75" s="22">
        <f t="shared" si="38"/>
        <v>73.405796625657842</v>
      </c>
      <c r="M75" s="22"/>
      <c r="N75" s="78">
        <v>13292</v>
      </c>
      <c r="O75" s="26">
        <f t="shared" si="39"/>
        <v>67.483728156128478</v>
      </c>
      <c r="P75" s="22"/>
      <c r="Q75" s="78">
        <v>15328.7</v>
      </c>
      <c r="R75" s="26">
        <f t="shared" si="40"/>
        <v>115.32275052663256</v>
      </c>
      <c r="S75" s="22"/>
    </row>
    <row r="76" spans="1:19" s="27" customFormat="1" ht="15.75">
      <c r="A76" s="63" t="s">
        <v>143</v>
      </c>
      <c r="B76" s="64" t="s">
        <v>144</v>
      </c>
      <c r="C76" s="65">
        <v>0</v>
      </c>
      <c r="D76" s="65">
        <v>0</v>
      </c>
      <c r="E76" s="22" t="e">
        <f t="shared" si="32"/>
        <v>#DIV/0!</v>
      </c>
      <c r="F76" s="65">
        <v>0</v>
      </c>
      <c r="G76" s="22" t="e">
        <f t="shared" si="33"/>
        <v>#DIV/0!</v>
      </c>
      <c r="H76" s="15"/>
      <c r="I76" s="22"/>
      <c r="J76" s="28">
        <v>0</v>
      </c>
      <c r="K76" s="22" t="e">
        <f t="shared" ref="K76:K78" si="43">SUM(J76/D76)*100</f>
        <v>#DIV/0!</v>
      </c>
      <c r="L76" s="22" t="e">
        <f t="shared" ref="L76:L78" si="44">SUM(J76/F76)*100</f>
        <v>#DIV/0!</v>
      </c>
      <c r="M76" s="30"/>
      <c r="N76" s="28">
        <v>0</v>
      </c>
      <c r="O76" s="26" t="e">
        <f t="shared" ref="O76:O78" si="45">SUM(N76/J76)*100</f>
        <v>#DIV/0!</v>
      </c>
      <c r="P76" s="67"/>
      <c r="Q76" s="28">
        <v>0</v>
      </c>
      <c r="R76" s="26" t="e">
        <f t="shared" si="40"/>
        <v>#DIV/0!</v>
      </c>
      <c r="S76" s="22"/>
    </row>
    <row r="77" spans="1:19" s="27" customFormat="1" ht="30">
      <c r="A77" s="63" t="s">
        <v>145</v>
      </c>
      <c r="B77" s="64" t="s">
        <v>146</v>
      </c>
      <c r="C77" s="65">
        <v>0</v>
      </c>
      <c r="D77" s="65">
        <v>0</v>
      </c>
      <c r="E77" s="22" t="e">
        <f t="shared" si="32"/>
        <v>#DIV/0!</v>
      </c>
      <c r="F77" s="65">
        <v>0</v>
      </c>
      <c r="G77" s="22" t="e">
        <f t="shared" si="33"/>
        <v>#DIV/0!</v>
      </c>
      <c r="H77" s="15"/>
      <c r="I77" s="22"/>
      <c r="J77" s="28">
        <v>0</v>
      </c>
      <c r="K77" s="22" t="e">
        <f t="shared" si="43"/>
        <v>#DIV/0!</v>
      </c>
      <c r="L77" s="22" t="e">
        <f t="shared" si="44"/>
        <v>#DIV/0!</v>
      </c>
      <c r="M77" s="30"/>
      <c r="N77" s="28">
        <v>0</v>
      </c>
      <c r="O77" s="26" t="e">
        <f t="shared" si="45"/>
        <v>#DIV/0!</v>
      </c>
      <c r="P77" s="67"/>
      <c r="Q77" s="28">
        <v>0</v>
      </c>
      <c r="R77" s="26" t="e">
        <f t="shared" si="40"/>
        <v>#DIV/0!</v>
      </c>
      <c r="S77" s="22"/>
    </row>
    <row r="78" spans="1:19" s="27" customFormat="1" ht="15.75">
      <c r="A78" s="63" t="s">
        <v>147</v>
      </c>
      <c r="B78" s="64" t="s">
        <v>148</v>
      </c>
      <c r="C78" s="65">
        <v>0</v>
      </c>
      <c r="D78" s="69">
        <v>0</v>
      </c>
      <c r="E78" s="22" t="e">
        <f t="shared" si="32"/>
        <v>#DIV/0!</v>
      </c>
      <c r="F78" s="69">
        <v>0</v>
      </c>
      <c r="G78" s="22" t="e">
        <f t="shared" si="33"/>
        <v>#DIV/0!</v>
      </c>
      <c r="H78" s="15"/>
      <c r="I78" s="22"/>
      <c r="J78" s="28">
        <v>0</v>
      </c>
      <c r="K78" s="22" t="e">
        <f t="shared" si="43"/>
        <v>#DIV/0!</v>
      </c>
      <c r="L78" s="22" t="e">
        <f t="shared" si="44"/>
        <v>#DIV/0!</v>
      </c>
      <c r="M78" s="30"/>
      <c r="N78" s="28">
        <v>0</v>
      </c>
      <c r="O78" s="26" t="e">
        <f t="shared" si="45"/>
        <v>#DIV/0!</v>
      </c>
      <c r="P78" s="67"/>
      <c r="Q78" s="28">
        <v>0</v>
      </c>
      <c r="R78" s="26" t="e">
        <f t="shared" si="40"/>
        <v>#DIV/0!</v>
      </c>
      <c r="S78" s="22"/>
    </row>
    <row r="79" spans="1:19" s="27" customFormat="1" ht="15.75">
      <c r="A79" s="63" t="s">
        <v>149</v>
      </c>
      <c r="B79" s="64" t="s">
        <v>150</v>
      </c>
      <c r="C79" s="65">
        <v>76.7</v>
      </c>
      <c r="D79" s="65">
        <v>80.5</v>
      </c>
      <c r="E79" s="22">
        <f t="shared" si="32"/>
        <v>104.95436766623207</v>
      </c>
      <c r="F79" s="65">
        <v>80.5</v>
      </c>
      <c r="G79" s="22">
        <f t="shared" si="33"/>
        <v>104.95436766623207</v>
      </c>
      <c r="H79" s="15"/>
      <c r="I79" s="22"/>
      <c r="J79" s="78">
        <v>84.2</v>
      </c>
      <c r="K79" s="22">
        <f t="shared" si="37"/>
        <v>104.59627329192547</v>
      </c>
      <c r="L79" s="22">
        <f t="shared" si="38"/>
        <v>104.59627329192547</v>
      </c>
      <c r="M79" s="22"/>
      <c r="N79" s="78">
        <v>87.5</v>
      </c>
      <c r="O79" s="26">
        <f t="shared" si="39"/>
        <v>103.91923990498813</v>
      </c>
      <c r="P79" s="22"/>
      <c r="Q79" s="78">
        <v>91</v>
      </c>
      <c r="R79" s="26">
        <f t="shared" si="40"/>
        <v>104</v>
      </c>
      <c r="S79" s="22"/>
    </row>
    <row r="80" spans="1:19" s="27" customFormat="1" ht="15.75">
      <c r="A80" s="63" t="s">
        <v>151</v>
      </c>
      <c r="B80" s="64" t="s">
        <v>152</v>
      </c>
      <c r="C80" s="65">
        <v>0</v>
      </c>
      <c r="D80" s="69">
        <v>0</v>
      </c>
      <c r="E80" s="22" t="e">
        <f t="shared" si="32"/>
        <v>#DIV/0!</v>
      </c>
      <c r="F80" s="69">
        <v>0</v>
      </c>
      <c r="G80" s="22" t="e">
        <f t="shared" si="33"/>
        <v>#DIV/0!</v>
      </c>
      <c r="H80" s="15"/>
      <c r="I80" s="22"/>
      <c r="J80" s="28">
        <v>0</v>
      </c>
      <c r="K80" s="22" t="e">
        <f t="shared" ref="K80" si="46">SUM(J80/D80)*100</f>
        <v>#DIV/0!</v>
      </c>
      <c r="L80" s="22" t="e">
        <f t="shared" ref="L80" si="47">SUM(J80/F80)*100</f>
        <v>#DIV/0!</v>
      </c>
      <c r="M80" s="30"/>
      <c r="N80" s="28">
        <v>0</v>
      </c>
      <c r="O80" s="26" t="e">
        <f t="shared" ref="O80" si="48">SUM(N80/J80)*100</f>
        <v>#DIV/0!</v>
      </c>
      <c r="P80" s="67"/>
      <c r="Q80" s="28">
        <v>0</v>
      </c>
      <c r="R80" s="26" t="e">
        <f t="shared" si="40"/>
        <v>#DIV/0!</v>
      </c>
      <c r="S80" s="22"/>
    </row>
    <row r="81" spans="1:19" s="27" customFormat="1" ht="15.75">
      <c r="A81" s="63" t="s">
        <v>153</v>
      </c>
      <c r="B81" s="64" t="s">
        <v>154</v>
      </c>
      <c r="C81" s="65">
        <v>4029.26386</v>
      </c>
      <c r="D81" s="65">
        <v>4454.6000000000004</v>
      </c>
      <c r="E81" s="22">
        <f t="shared" si="32"/>
        <v>110.55617489394206</v>
      </c>
      <c r="F81" s="65">
        <f>4454.6+884.8</f>
        <v>5339.4000000000005</v>
      </c>
      <c r="G81" s="22">
        <f t="shared" si="33"/>
        <v>132.51552108577968</v>
      </c>
      <c r="H81" s="15"/>
      <c r="I81" s="22"/>
      <c r="J81" s="78">
        <v>4550.8999999999996</v>
      </c>
      <c r="K81" s="22">
        <f t="shared" si="37"/>
        <v>102.16181026354778</v>
      </c>
      <c r="L81" s="22">
        <f t="shared" si="38"/>
        <v>85.232423118702457</v>
      </c>
      <c r="M81" s="22"/>
      <c r="N81" s="78">
        <v>4121.1000000000004</v>
      </c>
      <c r="O81" s="26">
        <f t="shared" si="39"/>
        <v>90.555714254323334</v>
      </c>
      <c r="P81" s="22"/>
      <c r="Q81" s="78">
        <v>4125.6000000000004</v>
      </c>
      <c r="R81" s="26">
        <f t="shared" si="40"/>
        <v>100.1091941471937</v>
      </c>
      <c r="S81" s="22"/>
    </row>
    <row r="82" spans="1:19" s="62" customFormat="1" ht="15.75">
      <c r="A82" s="56" t="s">
        <v>155</v>
      </c>
      <c r="B82" s="57" t="s">
        <v>156</v>
      </c>
      <c r="C82" s="58">
        <f>SUM(C83:C86)</f>
        <v>83368.9617</v>
      </c>
      <c r="D82" s="58">
        <f>SUM(D83:D86)</f>
        <v>31257.201000000001</v>
      </c>
      <c r="E82" s="39">
        <f t="shared" si="32"/>
        <v>37.49261159384212</v>
      </c>
      <c r="F82" s="58">
        <f>SUM(F83:F86)</f>
        <v>42600.900999999998</v>
      </c>
      <c r="G82" s="39">
        <f t="shared" si="33"/>
        <v>51.099234212964895</v>
      </c>
      <c r="H82" s="75"/>
      <c r="I82" s="77"/>
      <c r="J82" s="58">
        <f>SUM(J83:J86)</f>
        <v>35857.199999999997</v>
      </c>
      <c r="K82" s="22">
        <f t="shared" si="37"/>
        <v>114.71660562313303</v>
      </c>
      <c r="L82" s="22">
        <f t="shared" si="38"/>
        <v>84.170050769583483</v>
      </c>
      <c r="M82" s="76"/>
      <c r="N82" s="58">
        <f>SUM(N83:N86)</f>
        <v>29217.9</v>
      </c>
      <c r="O82" s="26">
        <f t="shared" si="39"/>
        <v>81.48405341186708</v>
      </c>
      <c r="P82" s="74"/>
      <c r="Q82" s="58">
        <f>SUM(Q83:Q86)</f>
        <v>26188.5</v>
      </c>
      <c r="R82" s="26">
        <f t="shared" si="40"/>
        <v>89.631698376680049</v>
      </c>
      <c r="S82" s="59"/>
    </row>
    <row r="83" spans="1:19" s="27" customFormat="1" ht="15.75">
      <c r="A83" s="63" t="s">
        <v>157</v>
      </c>
      <c r="B83" s="64" t="s">
        <v>158</v>
      </c>
      <c r="C83" s="65">
        <v>78649.703099999999</v>
      </c>
      <c r="D83" s="65">
        <v>26361.701000000001</v>
      </c>
      <c r="E83" s="22">
        <f t="shared" si="32"/>
        <v>33.517864608442501</v>
      </c>
      <c r="F83" s="65">
        <f>26361.701+300+178+6654.6+2250.9</f>
        <v>35745.201000000001</v>
      </c>
      <c r="G83" s="22">
        <f t="shared" si="33"/>
        <v>45.448615304435904</v>
      </c>
      <c r="H83" s="15"/>
      <c r="I83" s="22"/>
      <c r="J83" s="28">
        <v>28461.7</v>
      </c>
      <c r="K83" s="22">
        <f t="shared" si="37"/>
        <v>107.96609824229475</v>
      </c>
      <c r="L83" s="22">
        <f t="shared" si="38"/>
        <v>79.623835378628868</v>
      </c>
      <c r="M83" s="30"/>
      <c r="N83" s="67">
        <v>23727.200000000001</v>
      </c>
      <c r="O83" s="26">
        <f t="shared" si="39"/>
        <v>83.365364683065309</v>
      </c>
      <c r="P83" s="67"/>
      <c r="Q83" s="67">
        <v>21697.8</v>
      </c>
      <c r="R83" s="26">
        <f t="shared" si="40"/>
        <v>91.4469469638221</v>
      </c>
      <c r="S83" s="66"/>
    </row>
    <row r="84" spans="1:19" s="27" customFormat="1" ht="15.75">
      <c r="A84" s="63" t="s">
        <v>159</v>
      </c>
      <c r="B84" s="64" t="s">
        <v>160</v>
      </c>
      <c r="C84" s="65">
        <v>0</v>
      </c>
      <c r="D84" s="65">
        <v>0</v>
      </c>
      <c r="E84" s="22" t="e">
        <f t="shared" si="32"/>
        <v>#DIV/0!</v>
      </c>
      <c r="F84" s="65">
        <v>0</v>
      </c>
      <c r="G84" s="22" t="e">
        <f t="shared" si="33"/>
        <v>#DIV/0!</v>
      </c>
      <c r="H84" s="15"/>
      <c r="I84" s="22"/>
      <c r="J84" s="28">
        <v>0</v>
      </c>
      <c r="K84" s="22" t="e">
        <f t="shared" ref="K84:K85" si="49">SUM(J84/D84)*100</f>
        <v>#DIV/0!</v>
      </c>
      <c r="L84" s="22" t="e">
        <f t="shared" ref="L84:L85" si="50">SUM(J84/F84)*100</f>
        <v>#DIV/0!</v>
      </c>
      <c r="M84" s="30"/>
      <c r="N84" s="28">
        <v>0</v>
      </c>
      <c r="O84" s="26" t="e">
        <f t="shared" ref="O84:O85" si="51">SUM(N84/J84)*100</f>
        <v>#DIV/0!</v>
      </c>
      <c r="P84" s="67"/>
      <c r="Q84" s="28">
        <v>0</v>
      </c>
      <c r="R84" s="26" t="e">
        <f t="shared" si="40"/>
        <v>#DIV/0!</v>
      </c>
      <c r="S84" s="66"/>
    </row>
    <row r="85" spans="1:19" s="27" customFormat="1" ht="30">
      <c r="A85" s="63" t="s">
        <v>161</v>
      </c>
      <c r="B85" s="64" t="s">
        <v>162</v>
      </c>
      <c r="C85" s="65">
        <v>0</v>
      </c>
      <c r="D85" s="69">
        <v>0</v>
      </c>
      <c r="E85" s="22" t="e">
        <f t="shared" si="32"/>
        <v>#DIV/0!</v>
      </c>
      <c r="F85" s="69">
        <v>0</v>
      </c>
      <c r="G85" s="22" t="e">
        <f t="shared" si="33"/>
        <v>#DIV/0!</v>
      </c>
      <c r="H85" s="15"/>
      <c r="I85" s="22"/>
      <c r="J85" s="28">
        <v>0</v>
      </c>
      <c r="K85" s="22" t="e">
        <f t="shared" si="49"/>
        <v>#DIV/0!</v>
      </c>
      <c r="L85" s="22" t="e">
        <f t="shared" si="50"/>
        <v>#DIV/0!</v>
      </c>
      <c r="M85" s="30"/>
      <c r="N85" s="28">
        <v>0</v>
      </c>
      <c r="O85" s="26" t="e">
        <f t="shared" si="51"/>
        <v>#DIV/0!</v>
      </c>
      <c r="P85" s="67"/>
      <c r="Q85" s="28">
        <v>0</v>
      </c>
      <c r="R85" s="26" t="e">
        <f t="shared" si="40"/>
        <v>#DIV/0!</v>
      </c>
      <c r="S85" s="66"/>
    </row>
    <row r="86" spans="1:19" s="27" customFormat="1" ht="15.75">
      <c r="A86" s="63" t="s">
        <v>163</v>
      </c>
      <c r="B86" s="64" t="s">
        <v>164</v>
      </c>
      <c r="C86" s="65">
        <v>4719.2586000000001</v>
      </c>
      <c r="D86" s="65">
        <v>4895.5</v>
      </c>
      <c r="E86" s="22">
        <f t="shared" si="32"/>
        <v>103.73451456972501</v>
      </c>
      <c r="F86" s="65">
        <f>4895.5+1960.2</f>
        <v>6855.7</v>
      </c>
      <c r="G86" s="22">
        <f t="shared" si="33"/>
        <v>145.27069993579076</v>
      </c>
      <c r="H86" s="15"/>
      <c r="I86" s="70"/>
      <c r="J86" s="28">
        <v>7395.5</v>
      </c>
      <c r="K86" s="22">
        <f t="shared" si="37"/>
        <v>151.06730671024411</v>
      </c>
      <c r="L86" s="22">
        <f t="shared" si="38"/>
        <v>107.87374009947928</v>
      </c>
      <c r="M86" s="30"/>
      <c r="N86" s="67">
        <v>5490.7</v>
      </c>
      <c r="O86" s="26">
        <f t="shared" si="39"/>
        <v>74.243796903522409</v>
      </c>
      <c r="P86" s="67"/>
      <c r="Q86" s="67">
        <v>4490.7</v>
      </c>
      <c r="R86" s="26">
        <f t="shared" si="40"/>
        <v>81.787385943504475</v>
      </c>
      <c r="S86" s="66"/>
    </row>
    <row r="87" spans="1:19" s="62" customFormat="1" ht="15.75">
      <c r="A87" s="56" t="s">
        <v>165</v>
      </c>
      <c r="B87" s="57" t="s">
        <v>166</v>
      </c>
      <c r="C87" s="58">
        <v>0</v>
      </c>
      <c r="D87" s="58">
        <v>0</v>
      </c>
      <c r="E87" s="39" t="e">
        <f t="shared" si="32"/>
        <v>#DIV/0!</v>
      </c>
      <c r="F87" s="58">
        <v>0</v>
      </c>
      <c r="G87" s="39" t="e">
        <f t="shared" si="33"/>
        <v>#DIV/0!</v>
      </c>
      <c r="H87" s="75"/>
      <c r="I87" s="59"/>
      <c r="J87" s="58">
        <v>0</v>
      </c>
      <c r="K87" s="22" t="e">
        <f t="shared" si="37"/>
        <v>#DIV/0!</v>
      </c>
      <c r="L87" s="22" t="e">
        <f t="shared" si="38"/>
        <v>#DIV/0!</v>
      </c>
      <c r="M87" s="76"/>
      <c r="N87" s="58">
        <v>0</v>
      </c>
      <c r="O87" s="26" t="e">
        <f t="shared" si="39"/>
        <v>#DIV/0!</v>
      </c>
      <c r="P87" s="74"/>
      <c r="Q87" s="58">
        <v>0</v>
      </c>
      <c r="R87" s="26" t="e">
        <f t="shared" si="40"/>
        <v>#DIV/0!</v>
      </c>
      <c r="S87" s="59"/>
    </row>
    <row r="88" spans="1:19" s="27" customFormat="1" ht="15.75">
      <c r="A88" s="63" t="s">
        <v>167</v>
      </c>
      <c r="B88" s="64" t="s">
        <v>168</v>
      </c>
      <c r="C88" s="65">
        <v>0</v>
      </c>
      <c r="D88" s="65">
        <v>0</v>
      </c>
      <c r="E88" s="22" t="e">
        <f t="shared" si="32"/>
        <v>#DIV/0!</v>
      </c>
      <c r="F88" s="65">
        <v>0</v>
      </c>
      <c r="G88" s="22" t="e">
        <f t="shared" si="33"/>
        <v>#DIV/0!</v>
      </c>
      <c r="H88" s="15"/>
      <c r="I88" s="70"/>
      <c r="J88" s="28">
        <v>0</v>
      </c>
      <c r="K88" s="22" t="e">
        <f t="shared" si="37"/>
        <v>#DIV/0!</v>
      </c>
      <c r="L88" s="22" t="e">
        <f t="shared" si="38"/>
        <v>#DIV/0!</v>
      </c>
      <c r="M88" s="30"/>
      <c r="N88" s="67">
        <v>0</v>
      </c>
      <c r="O88" s="26" t="e">
        <f t="shared" si="39"/>
        <v>#DIV/0!</v>
      </c>
      <c r="P88" s="67"/>
      <c r="Q88" s="67">
        <v>0</v>
      </c>
      <c r="R88" s="26" t="e">
        <f t="shared" si="40"/>
        <v>#DIV/0!</v>
      </c>
      <c r="S88" s="66"/>
    </row>
    <row r="89" spans="1:19" s="27" customFormat="1" ht="15.75">
      <c r="A89" s="63" t="s">
        <v>169</v>
      </c>
      <c r="B89" s="64" t="s">
        <v>170</v>
      </c>
      <c r="C89" s="65">
        <v>0</v>
      </c>
      <c r="D89" s="65">
        <v>0</v>
      </c>
      <c r="E89" s="22" t="e">
        <f t="shared" si="32"/>
        <v>#DIV/0!</v>
      </c>
      <c r="F89" s="65">
        <v>0</v>
      </c>
      <c r="G89" s="22" t="e">
        <f t="shared" si="33"/>
        <v>#DIV/0!</v>
      </c>
      <c r="H89" s="15"/>
      <c r="I89" s="70"/>
      <c r="J89" s="28">
        <v>0</v>
      </c>
      <c r="K89" s="22" t="e">
        <f t="shared" si="37"/>
        <v>#DIV/0!</v>
      </c>
      <c r="L89" s="22" t="e">
        <f t="shared" si="38"/>
        <v>#DIV/0!</v>
      </c>
      <c r="M89" s="30"/>
      <c r="N89" s="67">
        <v>0</v>
      </c>
      <c r="O89" s="26" t="e">
        <f t="shared" si="39"/>
        <v>#DIV/0!</v>
      </c>
      <c r="P89" s="67"/>
      <c r="Q89" s="67">
        <v>0</v>
      </c>
      <c r="R89" s="26" t="e">
        <f t="shared" si="40"/>
        <v>#DIV/0!</v>
      </c>
      <c r="S89" s="30"/>
    </row>
    <row r="90" spans="1:19" s="27" customFormat="1" ht="15.75">
      <c r="A90" s="63" t="s">
        <v>171</v>
      </c>
      <c r="B90" s="64" t="s">
        <v>172</v>
      </c>
      <c r="C90" s="65">
        <v>0</v>
      </c>
      <c r="D90" s="65">
        <v>0</v>
      </c>
      <c r="E90" s="22" t="e">
        <f t="shared" si="32"/>
        <v>#DIV/0!</v>
      </c>
      <c r="F90" s="65">
        <v>0</v>
      </c>
      <c r="G90" s="22" t="e">
        <f t="shared" si="33"/>
        <v>#DIV/0!</v>
      </c>
      <c r="H90" s="15"/>
      <c r="I90" s="70"/>
      <c r="J90" s="28">
        <v>0</v>
      </c>
      <c r="K90" s="22" t="e">
        <f t="shared" si="37"/>
        <v>#DIV/0!</v>
      </c>
      <c r="L90" s="22" t="e">
        <f t="shared" si="38"/>
        <v>#DIV/0!</v>
      </c>
      <c r="M90" s="30"/>
      <c r="N90" s="67">
        <v>0</v>
      </c>
      <c r="O90" s="26" t="e">
        <f t="shared" si="39"/>
        <v>#DIV/0!</v>
      </c>
      <c r="P90" s="67"/>
      <c r="Q90" s="67">
        <v>0</v>
      </c>
      <c r="R90" s="26" t="e">
        <f t="shared" si="40"/>
        <v>#DIV/0!</v>
      </c>
      <c r="S90" s="66"/>
    </row>
    <row r="91" spans="1:19" s="27" customFormat="1" ht="15.75">
      <c r="A91" s="63" t="s">
        <v>173</v>
      </c>
      <c r="B91" s="64" t="s">
        <v>174</v>
      </c>
      <c r="C91" s="65">
        <v>0</v>
      </c>
      <c r="D91" s="65">
        <v>0</v>
      </c>
      <c r="E91" s="22" t="e">
        <f t="shared" si="32"/>
        <v>#DIV/0!</v>
      </c>
      <c r="F91" s="65">
        <v>0</v>
      </c>
      <c r="G91" s="22" t="e">
        <f t="shared" si="33"/>
        <v>#DIV/0!</v>
      </c>
      <c r="H91" s="15"/>
      <c r="I91" s="66"/>
      <c r="J91" s="28">
        <v>0</v>
      </c>
      <c r="K91" s="22" t="e">
        <f t="shared" si="37"/>
        <v>#DIV/0!</v>
      </c>
      <c r="L91" s="22" t="e">
        <f t="shared" si="38"/>
        <v>#DIV/0!</v>
      </c>
      <c r="M91" s="30"/>
      <c r="N91" s="67">
        <v>0</v>
      </c>
      <c r="O91" s="26" t="e">
        <f t="shared" si="39"/>
        <v>#DIV/0!</v>
      </c>
      <c r="P91" s="67"/>
      <c r="Q91" s="67">
        <v>0</v>
      </c>
      <c r="R91" s="26" t="e">
        <f t="shared" si="40"/>
        <v>#DIV/0!</v>
      </c>
      <c r="S91" s="66"/>
    </row>
    <row r="92" spans="1:19" s="27" customFormat="1" ht="15.75">
      <c r="A92" s="63" t="s">
        <v>175</v>
      </c>
      <c r="B92" s="64" t="s">
        <v>176</v>
      </c>
      <c r="C92" s="65">
        <v>0</v>
      </c>
      <c r="D92" s="65">
        <v>0</v>
      </c>
      <c r="E92" s="22" t="e">
        <f t="shared" si="32"/>
        <v>#DIV/0!</v>
      </c>
      <c r="F92" s="65">
        <v>0</v>
      </c>
      <c r="G92" s="22" t="e">
        <f t="shared" si="33"/>
        <v>#DIV/0!</v>
      </c>
      <c r="H92" s="15"/>
      <c r="I92" s="66"/>
      <c r="J92" s="28">
        <v>0</v>
      </c>
      <c r="K92" s="22" t="e">
        <f t="shared" si="37"/>
        <v>#DIV/0!</v>
      </c>
      <c r="L92" s="22" t="e">
        <f t="shared" si="38"/>
        <v>#DIV/0!</v>
      </c>
      <c r="M92" s="30"/>
      <c r="N92" s="67">
        <v>0</v>
      </c>
      <c r="O92" s="26" t="e">
        <f t="shared" si="39"/>
        <v>#DIV/0!</v>
      </c>
      <c r="P92" s="67"/>
      <c r="Q92" s="67">
        <v>0</v>
      </c>
      <c r="R92" s="26" t="e">
        <f t="shared" si="40"/>
        <v>#DIV/0!</v>
      </c>
      <c r="S92" s="66"/>
    </row>
    <row r="93" spans="1:19" s="27" customFormat="1" ht="30">
      <c r="A93" s="63" t="s">
        <v>177</v>
      </c>
      <c r="B93" s="64" t="s">
        <v>178</v>
      </c>
      <c r="C93" s="65">
        <v>0</v>
      </c>
      <c r="D93" s="65">
        <v>0</v>
      </c>
      <c r="E93" s="22" t="e">
        <f t="shared" si="32"/>
        <v>#DIV/0!</v>
      </c>
      <c r="F93" s="65">
        <v>0</v>
      </c>
      <c r="G93" s="22" t="e">
        <f t="shared" si="33"/>
        <v>#DIV/0!</v>
      </c>
      <c r="H93" s="15"/>
      <c r="I93" s="70"/>
      <c r="J93" s="28">
        <v>0</v>
      </c>
      <c r="K93" s="22" t="e">
        <f t="shared" si="37"/>
        <v>#DIV/0!</v>
      </c>
      <c r="L93" s="22" t="e">
        <f t="shared" si="38"/>
        <v>#DIV/0!</v>
      </c>
      <c r="M93" s="30"/>
      <c r="N93" s="67">
        <v>0</v>
      </c>
      <c r="O93" s="26" t="e">
        <f t="shared" si="39"/>
        <v>#DIV/0!</v>
      </c>
      <c r="P93" s="67"/>
      <c r="Q93" s="67">
        <v>0</v>
      </c>
      <c r="R93" s="26" t="e">
        <f t="shared" si="40"/>
        <v>#DIV/0!</v>
      </c>
      <c r="S93" s="66"/>
    </row>
    <row r="94" spans="1:19" s="27" customFormat="1" ht="15.75">
      <c r="A94" s="63" t="s">
        <v>179</v>
      </c>
      <c r="B94" s="64" t="s">
        <v>180</v>
      </c>
      <c r="C94" s="65">
        <v>0</v>
      </c>
      <c r="D94" s="65">
        <v>0</v>
      </c>
      <c r="E94" s="22" t="e">
        <f t="shared" ref="E94:E118" si="52">SUM(D94/C94)*100</f>
        <v>#DIV/0!</v>
      </c>
      <c r="F94" s="65">
        <v>0</v>
      </c>
      <c r="G94" s="22" t="e">
        <f t="shared" ref="G94:G118" si="53">SUM(F94/C94)*100</f>
        <v>#DIV/0!</v>
      </c>
      <c r="H94" s="15"/>
      <c r="I94" s="66"/>
      <c r="J94" s="28">
        <v>0</v>
      </c>
      <c r="K94" s="22" t="e">
        <f t="shared" si="37"/>
        <v>#DIV/0!</v>
      </c>
      <c r="L94" s="22" t="e">
        <f t="shared" si="38"/>
        <v>#DIV/0!</v>
      </c>
      <c r="M94" s="30"/>
      <c r="N94" s="67">
        <v>0</v>
      </c>
      <c r="O94" s="26" t="e">
        <f t="shared" si="39"/>
        <v>#DIV/0!</v>
      </c>
      <c r="P94" s="67"/>
      <c r="Q94" s="67">
        <v>0</v>
      </c>
      <c r="R94" s="26" t="e">
        <f t="shared" si="40"/>
        <v>#DIV/0!</v>
      </c>
      <c r="S94" s="66"/>
    </row>
    <row r="95" spans="1:19" s="27" customFormat="1" ht="15.75">
      <c r="A95" s="63" t="s">
        <v>181</v>
      </c>
      <c r="B95" s="64" t="s">
        <v>182</v>
      </c>
      <c r="C95" s="65">
        <v>0</v>
      </c>
      <c r="D95" s="69">
        <v>0</v>
      </c>
      <c r="E95" s="22" t="e">
        <f t="shared" si="52"/>
        <v>#DIV/0!</v>
      </c>
      <c r="F95" s="69">
        <v>0</v>
      </c>
      <c r="G95" s="22" t="e">
        <f t="shared" si="53"/>
        <v>#DIV/0!</v>
      </c>
      <c r="H95" s="15"/>
      <c r="I95" s="66"/>
      <c r="J95" s="28">
        <v>0</v>
      </c>
      <c r="K95" s="22" t="e">
        <f t="shared" si="37"/>
        <v>#DIV/0!</v>
      </c>
      <c r="L95" s="22" t="e">
        <f t="shared" si="38"/>
        <v>#DIV/0!</v>
      </c>
      <c r="M95" s="30"/>
      <c r="N95" s="67">
        <v>0</v>
      </c>
      <c r="O95" s="26" t="e">
        <f t="shared" si="39"/>
        <v>#DIV/0!</v>
      </c>
      <c r="P95" s="67"/>
      <c r="Q95" s="67">
        <v>0</v>
      </c>
      <c r="R95" s="26" t="e">
        <f t="shared" si="40"/>
        <v>#DIV/0!</v>
      </c>
      <c r="S95" s="66"/>
    </row>
    <row r="96" spans="1:19" s="27" customFormat="1" ht="15.75">
      <c r="A96" s="63" t="s">
        <v>183</v>
      </c>
      <c r="B96" s="64" t="s">
        <v>184</v>
      </c>
      <c r="C96" s="65">
        <v>0</v>
      </c>
      <c r="D96" s="65">
        <v>0</v>
      </c>
      <c r="E96" s="22" t="e">
        <f t="shared" si="52"/>
        <v>#DIV/0!</v>
      </c>
      <c r="F96" s="65">
        <v>0</v>
      </c>
      <c r="G96" s="22" t="e">
        <f t="shared" si="53"/>
        <v>#DIV/0!</v>
      </c>
      <c r="H96" s="15"/>
      <c r="I96" s="70"/>
      <c r="J96" s="28">
        <v>0</v>
      </c>
      <c r="K96" s="22" t="e">
        <f t="shared" si="37"/>
        <v>#DIV/0!</v>
      </c>
      <c r="L96" s="22" t="e">
        <f t="shared" si="38"/>
        <v>#DIV/0!</v>
      </c>
      <c r="M96" s="30"/>
      <c r="N96" s="67">
        <v>0</v>
      </c>
      <c r="O96" s="26" t="e">
        <f t="shared" si="39"/>
        <v>#DIV/0!</v>
      </c>
      <c r="P96" s="67"/>
      <c r="Q96" s="67">
        <v>0</v>
      </c>
      <c r="R96" s="26" t="e">
        <f t="shared" si="40"/>
        <v>#DIV/0!</v>
      </c>
      <c r="S96" s="66"/>
    </row>
    <row r="97" spans="1:19" s="62" customFormat="1" ht="15.75">
      <c r="A97" s="56" t="s">
        <v>185</v>
      </c>
      <c r="B97" s="57" t="s">
        <v>186</v>
      </c>
      <c r="C97" s="58">
        <f>SUM(C98:C102)</f>
        <v>14090.34763</v>
      </c>
      <c r="D97" s="58">
        <f>SUM(D98:D102)</f>
        <v>20944.822039999999</v>
      </c>
      <c r="E97" s="39">
        <f t="shared" si="52"/>
        <v>148.64659545663744</v>
      </c>
      <c r="F97" s="58">
        <f>SUM(F98:F102)</f>
        <v>21117.048269999999</v>
      </c>
      <c r="G97" s="39">
        <f t="shared" si="53"/>
        <v>149.86889482442101</v>
      </c>
      <c r="H97" s="79"/>
      <c r="I97" s="39"/>
      <c r="J97" s="58">
        <f>SUM(J98:J102)</f>
        <v>16924.400000000001</v>
      </c>
      <c r="K97" s="22">
        <f t="shared" si="37"/>
        <v>80.804697063924067</v>
      </c>
      <c r="L97" s="22">
        <f t="shared" si="38"/>
        <v>80.145670851374163</v>
      </c>
      <c r="M97" s="76"/>
      <c r="N97" s="58">
        <f>SUM(N98:N102)</f>
        <v>19131.400000000001</v>
      </c>
      <c r="O97" s="26">
        <f t="shared" si="39"/>
        <v>113.04034411855073</v>
      </c>
      <c r="P97" s="74"/>
      <c r="Q97" s="58">
        <f>SUM(Q98:Q102)</f>
        <v>19187.5</v>
      </c>
      <c r="R97" s="26">
        <f t="shared" si="40"/>
        <v>100.29323520495102</v>
      </c>
      <c r="S97" s="59"/>
    </row>
    <row r="98" spans="1:19" s="27" customFormat="1" ht="15.75">
      <c r="A98" s="63" t="s">
        <v>187</v>
      </c>
      <c r="B98" s="64" t="s">
        <v>188</v>
      </c>
      <c r="C98" s="65">
        <v>2104.8361199999999</v>
      </c>
      <c r="D98" s="65">
        <v>2211.6999999999998</v>
      </c>
      <c r="E98" s="22">
        <f t="shared" si="52"/>
        <v>105.07706414692275</v>
      </c>
      <c r="F98" s="65">
        <v>2211.6999999999998</v>
      </c>
      <c r="G98" s="22">
        <f t="shared" si="53"/>
        <v>105.07706414692275</v>
      </c>
      <c r="H98" s="15"/>
      <c r="I98" s="22"/>
      <c r="J98" s="28">
        <v>2413.4</v>
      </c>
      <c r="K98" s="22">
        <f t="shared" si="37"/>
        <v>109.11968169281549</v>
      </c>
      <c r="L98" s="22">
        <f t="shared" si="38"/>
        <v>109.11968169281549</v>
      </c>
      <c r="M98" s="30"/>
      <c r="N98" s="67">
        <v>2510</v>
      </c>
      <c r="O98" s="26">
        <f t="shared" si="39"/>
        <v>104.00265186044584</v>
      </c>
      <c r="P98" s="67"/>
      <c r="Q98" s="67">
        <v>2610.4</v>
      </c>
      <c r="R98" s="26">
        <f t="shared" si="40"/>
        <v>104</v>
      </c>
      <c r="S98" s="66"/>
    </row>
    <row r="99" spans="1:19" s="27" customFormat="1" ht="15.75">
      <c r="A99" s="63" t="s">
        <v>189</v>
      </c>
      <c r="B99" s="64" t="s">
        <v>190</v>
      </c>
      <c r="C99" s="65">
        <v>0</v>
      </c>
      <c r="D99" s="65">
        <v>0</v>
      </c>
      <c r="E99" s="22" t="e">
        <f t="shared" si="52"/>
        <v>#DIV/0!</v>
      </c>
      <c r="F99" s="65">
        <v>0</v>
      </c>
      <c r="G99" s="22" t="e">
        <f t="shared" si="53"/>
        <v>#DIV/0!</v>
      </c>
      <c r="H99" s="15"/>
      <c r="I99" s="22"/>
      <c r="J99" s="28">
        <v>0</v>
      </c>
      <c r="K99" s="22" t="e">
        <f t="shared" ref="K99" si="54">SUM(J99/D99)*100</f>
        <v>#DIV/0!</v>
      </c>
      <c r="L99" s="22" t="e">
        <f t="shared" ref="L99" si="55">SUM(J99/F99)*100</f>
        <v>#DIV/0!</v>
      </c>
      <c r="M99" s="30"/>
      <c r="N99" s="28">
        <v>0</v>
      </c>
      <c r="O99" s="26" t="e">
        <f t="shared" ref="O99" si="56">SUM(N99/J99)*100</f>
        <v>#DIV/0!</v>
      </c>
      <c r="P99" s="67"/>
      <c r="Q99" s="28">
        <v>0</v>
      </c>
      <c r="R99" s="26" t="e">
        <f t="shared" si="40"/>
        <v>#DIV/0!</v>
      </c>
      <c r="S99" s="66"/>
    </row>
    <row r="100" spans="1:19" s="27" customFormat="1" ht="15.75">
      <c r="A100" s="63" t="s">
        <v>191</v>
      </c>
      <c r="B100" s="64" t="s">
        <v>192</v>
      </c>
      <c r="C100" s="65">
        <v>4479.82251</v>
      </c>
      <c r="D100" s="65">
        <v>1526.01304</v>
      </c>
      <c r="E100" s="22">
        <f t="shared" si="52"/>
        <v>34.06414063489315</v>
      </c>
      <c r="F100" s="65">
        <f>1526.01304+35+137.22623</f>
        <v>1698.23927</v>
      </c>
      <c r="G100" s="22">
        <f t="shared" si="53"/>
        <v>37.908628438049433</v>
      </c>
      <c r="H100" s="15"/>
      <c r="I100" s="22"/>
      <c r="J100" s="28">
        <v>1433.1</v>
      </c>
      <c r="K100" s="22">
        <f t="shared" ref="K100:K118" si="57">SUM(J100/D100)*100</f>
        <v>93.911386235598599</v>
      </c>
      <c r="L100" s="22">
        <f t="shared" ref="L100:L118" si="58">SUM(J100/F100)*100</f>
        <v>84.38740201785582</v>
      </c>
      <c r="M100" s="30"/>
      <c r="N100" s="67">
        <v>597.9</v>
      </c>
      <c r="O100" s="26">
        <f t="shared" ref="O100:O118" si="59">SUM(N100/J100)*100</f>
        <v>41.720745237596816</v>
      </c>
      <c r="P100" s="26"/>
      <c r="Q100" s="67">
        <v>769.9</v>
      </c>
      <c r="R100" s="26">
        <f t="shared" ref="R100:R118" si="60">SUM(Q100/N100)*100</f>
        <v>128.7673524000669</v>
      </c>
      <c r="S100" s="66"/>
    </row>
    <row r="101" spans="1:19" s="27" customFormat="1" ht="30" customHeight="1">
      <c r="A101" s="63" t="s">
        <v>193</v>
      </c>
      <c r="B101" s="64" t="s">
        <v>194</v>
      </c>
      <c r="C101" s="65">
        <v>7505.6890000000003</v>
      </c>
      <c r="D101" s="65">
        <v>17182.109</v>
      </c>
      <c r="E101" s="22">
        <f t="shared" si="52"/>
        <v>228.92114234948983</v>
      </c>
      <c r="F101" s="65">
        <v>17182.109</v>
      </c>
      <c r="G101" s="22">
        <f t="shared" si="53"/>
        <v>228.92114234948983</v>
      </c>
      <c r="H101" s="15"/>
      <c r="I101" s="22"/>
      <c r="J101" s="28">
        <v>13077.9</v>
      </c>
      <c r="K101" s="22">
        <f t="shared" si="57"/>
        <v>76.113473613745555</v>
      </c>
      <c r="L101" s="22">
        <f t="shared" si="58"/>
        <v>76.113473613745555</v>
      </c>
      <c r="M101" s="30"/>
      <c r="N101" s="67">
        <v>16023.5</v>
      </c>
      <c r="O101" s="26">
        <f t="shared" si="59"/>
        <v>122.52349383310776</v>
      </c>
      <c r="P101" s="26"/>
      <c r="Q101" s="67">
        <v>15807.2</v>
      </c>
      <c r="R101" s="26">
        <f t="shared" si="60"/>
        <v>98.650107654382637</v>
      </c>
      <c r="S101" s="66"/>
    </row>
    <row r="102" spans="1:19" s="27" customFormat="1" ht="15.75">
      <c r="A102" s="63" t="s">
        <v>195</v>
      </c>
      <c r="B102" s="64" t="s">
        <v>196</v>
      </c>
      <c r="C102" s="65">
        <v>0</v>
      </c>
      <c r="D102" s="65">
        <v>25</v>
      </c>
      <c r="E102" s="22" t="e">
        <f t="shared" si="52"/>
        <v>#DIV/0!</v>
      </c>
      <c r="F102" s="65">
        <v>25</v>
      </c>
      <c r="G102" s="22" t="e">
        <f t="shared" si="53"/>
        <v>#DIV/0!</v>
      </c>
      <c r="H102" s="15"/>
      <c r="I102" s="22"/>
      <c r="J102" s="28">
        <v>0</v>
      </c>
      <c r="K102" s="22">
        <f t="shared" ref="K102" si="61">SUM(J102/D102)*100</f>
        <v>0</v>
      </c>
      <c r="L102" s="22">
        <f t="shared" ref="L102" si="62">SUM(J102/F102)*100</f>
        <v>0</v>
      </c>
      <c r="M102" s="30"/>
      <c r="N102" s="28">
        <v>0</v>
      </c>
      <c r="O102" s="26" t="e">
        <f t="shared" si="59"/>
        <v>#DIV/0!</v>
      </c>
      <c r="P102" s="67"/>
      <c r="Q102" s="28">
        <v>0</v>
      </c>
      <c r="R102" s="26" t="e">
        <f t="shared" si="60"/>
        <v>#DIV/0!</v>
      </c>
      <c r="S102" s="66"/>
    </row>
    <row r="103" spans="1:19" s="62" customFormat="1" ht="15.75">
      <c r="A103" s="56" t="s">
        <v>197</v>
      </c>
      <c r="B103" s="57" t="s">
        <v>198</v>
      </c>
      <c r="C103" s="58">
        <f>SUM(C104:C107)</f>
        <v>174.227</v>
      </c>
      <c r="D103" s="58">
        <f>SUM(D104:D107)</f>
        <v>189.22800000000001</v>
      </c>
      <c r="E103" s="39">
        <f t="shared" si="52"/>
        <v>108.61003174020101</v>
      </c>
      <c r="F103" s="58">
        <f>SUM(F104:F107)</f>
        <v>189.22800000000001</v>
      </c>
      <c r="G103" s="39">
        <f t="shared" si="53"/>
        <v>108.61003174020101</v>
      </c>
      <c r="H103" s="75"/>
      <c r="I103" s="77"/>
      <c r="J103" s="58">
        <f>SUM(J104:J107)</f>
        <v>193.8</v>
      </c>
      <c r="K103" s="22">
        <f t="shared" si="57"/>
        <v>102.41613291901832</v>
      </c>
      <c r="L103" s="22">
        <f t="shared" si="58"/>
        <v>102.41613291901832</v>
      </c>
      <c r="M103" s="76"/>
      <c r="N103" s="58">
        <f>SUM(N104:N107)</f>
        <v>201.6</v>
      </c>
      <c r="O103" s="26">
        <f t="shared" si="59"/>
        <v>104.02476780185759</v>
      </c>
      <c r="P103" s="77"/>
      <c r="Q103" s="58">
        <f>SUM(Q104:Q107)</f>
        <v>209.7</v>
      </c>
      <c r="R103" s="26">
        <f t="shared" si="60"/>
        <v>104.01785714285714</v>
      </c>
      <c r="S103" s="59"/>
    </row>
    <row r="104" spans="1:19" s="27" customFormat="1" ht="15.75">
      <c r="A104" s="63" t="s">
        <v>199</v>
      </c>
      <c r="B104" s="64" t="s">
        <v>200</v>
      </c>
      <c r="C104" s="65">
        <v>174.227</v>
      </c>
      <c r="D104" s="65">
        <v>189.22800000000001</v>
      </c>
      <c r="E104" s="22">
        <f t="shared" si="52"/>
        <v>108.61003174020101</v>
      </c>
      <c r="F104" s="65">
        <v>189.22800000000001</v>
      </c>
      <c r="G104" s="22">
        <f t="shared" si="53"/>
        <v>108.61003174020101</v>
      </c>
      <c r="H104" s="15"/>
      <c r="I104" s="22"/>
      <c r="J104" s="28">
        <v>193.8</v>
      </c>
      <c r="K104" s="22">
        <f t="shared" si="57"/>
        <v>102.41613291901832</v>
      </c>
      <c r="L104" s="22">
        <f t="shared" si="58"/>
        <v>102.41613291901832</v>
      </c>
      <c r="M104" s="30"/>
      <c r="N104" s="67">
        <v>201.6</v>
      </c>
      <c r="O104" s="26">
        <f t="shared" si="59"/>
        <v>104.02476780185759</v>
      </c>
      <c r="P104" s="26"/>
      <c r="Q104" s="67">
        <v>209.7</v>
      </c>
      <c r="R104" s="26">
        <f t="shared" si="60"/>
        <v>104.01785714285714</v>
      </c>
      <c r="S104" s="66"/>
    </row>
    <row r="105" spans="1:19" s="27" customFormat="1" ht="15.75">
      <c r="A105" s="63" t="s">
        <v>201</v>
      </c>
      <c r="B105" s="64" t="s">
        <v>202</v>
      </c>
      <c r="C105" s="65">
        <v>0</v>
      </c>
      <c r="D105" s="65">
        <v>0</v>
      </c>
      <c r="E105" s="22" t="e">
        <f t="shared" si="52"/>
        <v>#DIV/0!</v>
      </c>
      <c r="F105" s="65">
        <v>0</v>
      </c>
      <c r="G105" s="22" t="e">
        <f t="shared" si="53"/>
        <v>#DIV/0!</v>
      </c>
      <c r="H105" s="15"/>
      <c r="I105" s="22"/>
      <c r="J105" s="28">
        <v>0</v>
      </c>
      <c r="K105" s="22" t="e">
        <f t="shared" si="57"/>
        <v>#DIV/0!</v>
      </c>
      <c r="L105" s="22" t="e">
        <f t="shared" si="58"/>
        <v>#DIV/0!</v>
      </c>
      <c r="M105" s="30"/>
      <c r="N105" s="67"/>
      <c r="O105" s="26" t="e">
        <f t="shared" si="59"/>
        <v>#DIV/0!</v>
      </c>
      <c r="P105" s="26"/>
      <c r="Q105" s="67"/>
      <c r="R105" s="26" t="e">
        <f t="shared" si="60"/>
        <v>#DIV/0!</v>
      </c>
      <c r="S105" s="80"/>
    </row>
    <row r="106" spans="1:19" s="27" customFormat="1" ht="15.75">
      <c r="A106" s="63" t="s">
        <v>203</v>
      </c>
      <c r="B106" s="64" t="s">
        <v>204</v>
      </c>
      <c r="C106" s="65">
        <v>0</v>
      </c>
      <c r="D106" s="65">
        <v>0</v>
      </c>
      <c r="E106" s="22" t="e">
        <f t="shared" si="52"/>
        <v>#DIV/0!</v>
      </c>
      <c r="F106" s="65">
        <v>0</v>
      </c>
      <c r="G106" s="22" t="e">
        <f t="shared" si="53"/>
        <v>#DIV/0!</v>
      </c>
      <c r="H106" s="15"/>
      <c r="I106" s="22"/>
      <c r="J106" s="28">
        <v>0</v>
      </c>
      <c r="K106" s="22" t="e">
        <f t="shared" si="57"/>
        <v>#DIV/0!</v>
      </c>
      <c r="L106" s="22" t="e">
        <f t="shared" si="58"/>
        <v>#DIV/0!</v>
      </c>
      <c r="M106" s="30"/>
      <c r="N106" s="67"/>
      <c r="O106" s="26" t="e">
        <f t="shared" si="59"/>
        <v>#DIV/0!</v>
      </c>
      <c r="P106" s="26"/>
      <c r="Q106" s="67"/>
      <c r="R106" s="26" t="e">
        <f t="shared" si="60"/>
        <v>#DIV/0!</v>
      </c>
      <c r="S106" s="66"/>
    </row>
    <row r="107" spans="1:19" s="27" customFormat="1" ht="15.75">
      <c r="A107" s="63" t="s">
        <v>205</v>
      </c>
      <c r="B107" s="64" t="s">
        <v>206</v>
      </c>
      <c r="C107" s="65">
        <v>0</v>
      </c>
      <c r="D107" s="65">
        <v>0</v>
      </c>
      <c r="E107" s="22" t="e">
        <f t="shared" si="52"/>
        <v>#DIV/0!</v>
      </c>
      <c r="F107" s="65">
        <v>0</v>
      </c>
      <c r="G107" s="22" t="e">
        <f t="shared" si="53"/>
        <v>#DIV/0!</v>
      </c>
      <c r="H107" s="15"/>
      <c r="I107" s="22"/>
      <c r="J107" s="28">
        <v>0</v>
      </c>
      <c r="K107" s="22" t="e">
        <f t="shared" si="57"/>
        <v>#DIV/0!</v>
      </c>
      <c r="L107" s="22" t="e">
        <f t="shared" si="58"/>
        <v>#DIV/0!</v>
      </c>
      <c r="M107" s="30"/>
      <c r="N107" s="67"/>
      <c r="O107" s="26" t="e">
        <f t="shared" si="59"/>
        <v>#DIV/0!</v>
      </c>
      <c r="P107" s="26"/>
      <c r="Q107" s="67"/>
      <c r="R107" s="26" t="e">
        <f t="shared" si="60"/>
        <v>#DIV/0!</v>
      </c>
      <c r="S107" s="66"/>
    </row>
    <row r="108" spans="1:19" s="62" customFormat="1" ht="15.75">
      <c r="A108" s="56" t="s">
        <v>207</v>
      </c>
      <c r="B108" s="57" t="s">
        <v>208</v>
      </c>
      <c r="C108" s="58">
        <f>SUM(C109:C111)</f>
        <v>1350</v>
      </c>
      <c r="D108" s="58">
        <f>SUM(D109:D111)</f>
        <v>1350</v>
      </c>
      <c r="E108" s="39">
        <f t="shared" si="52"/>
        <v>100</v>
      </c>
      <c r="F108" s="58">
        <f>SUM(F109:F111)</f>
        <v>1350</v>
      </c>
      <c r="G108" s="39">
        <f t="shared" si="53"/>
        <v>100</v>
      </c>
      <c r="H108" s="75"/>
      <c r="I108" s="77"/>
      <c r="J108" s="58">
        <f>SUM(J109:J111)</f>
        <v>1350</v>
      </c>
      <c r="K108" s="22">
        <f t="shared" si="57"/>
        <v>100</v>
      </c>
      <c r="L108" s="22">
        <f t="shared" si="58"/>
        <v>100</v>
      </c>
      <c r="M108" s="76"/>
      <c r="N108" s="58">
        <f>SUM(N109:N111)</f>
        <v>1350</v>
      </c>
      <c r="O108" s="26">
        <f t="shared" si="59"/>
        <v>100</v>
      </c>
      <c r="P108" s="77"/>
      <c r="Q108" s="58">
        <f>SUM(Q109:Q111)</f>
        <v>1350</v>
      </c>
      <c r="R108" s="26">
        <f t="shared" si="60"/>
        <v>100</v>
      </c>
      <c r="S108" s="59"/>
    </row>
    <row r="109" spans="1:19" s="27" customFormat="1" ht="15.75">
      <c r="A109" s="63" t="s">
        <v>209</v>
      </c>
      <c r="B109" s="64" t="s">
        <v>210</v>
      </c>
      <c r="C109" s="65">
        <v>0</v>
      </c>
      <c r="D109" s="65">
        <v>0</v>
      </c>
      <c r="E109" s="22" t="e">
        <f t="shared" si="52"/>
        <v>#DIV/0!</v>
      </c>
      <c r="F109" s="65">
        <v>0</v>
      </c>
      <c r="G109" s="22" t="e">
        <f t="shared" si="53"/>
        <v>#DIV/0!</v>
      </c>
      <c r="H109" s="15"/>
      <c r="I109" s="22"/>
      <c r="J109" s="28">
        <v>0</v>
      </c>
      <c r="K109" s="22" t="e">
        <f t="shared" si="57"/>
        <v>#DIV/0!</v>
      </c>
      <c r="L109" s="22" t="e">
        <f t="shared" si="58"/>
        <v>#DIV/0!</v>
      </c>
      <c r="M109" s="30"/>
      <c r="N109" s="67"/>
      <c r="O109" s="26" t="e">
        <f t="shared" si="59"/>
        <v>#DIV/0!</v>
      </c>
      <c r="P109" s="26"/>
      <c r="Q109" s="67"/>
      <c r="R109" s="26" t="e">
        <f t="shared" si="60"/>
        <v>#DIV/0!</v>
      </c>
      <c r="S109" s="66"/>
    </row>
    <row r="110" spans="1:19" s="27" customFormat="1" ht="15.75">
      <c r="A110" s="63" t="s">
        <v>211</v>
      </c>
      <c r="B110" s="64" t="s">
        <v>212</v>
      </c>
      <c r="C110" s="65">
        <v>1350</v>
      </c>
      <c r="D110" s="65">
        <v>1350</v>
      </c>
      <c r="E110" s="22">
        <f t="shared" si="52"/>
        <v>100</v>
      </c>
      <c r="F110" s="65">
        <v>1350</v>
      </c>
      <c r="G110" s="22">
        <f t="shared" si="53"/>
        <v>100</v>
      </c>
      <c r="H110" s="15"/>
      <c r="I110" s="22"/>
      <c r="J110" s="28">
        <v>1350</v>
      </c>
      <c r="K110" s="22">
        <f t="shared" si="57"/>
        <v>100</v>
      </c>
      <c r="L110" s="22">
        <f t="shared" si="58"/>
        <v>100</v>
      </c>
      <c r="M110" s="30"/>
      <c r="N110" s="67">
        <v>1350</v>
      </c>
      <c r="O110" s="26">
        <f t="shared" si="59"/>
        <v>100</v>
      </c>
      <c r="P110" s="26"/>
      <c r="Q110" s="67">
        <v>1350</v>
      </c>
      <c r="R110" s="26">
        <f t="shared" si="60"/>
        <v>100</v>
      </c>
      <c r="S110" s="66"/>
    </row>
    <row r="111" spans="1:19" s="27" customFormat="1" ht="15.75">
      <c r="A111" s="63" t="s">
        <v>213</v>
      </c>
      <c r="B111" s="64" t="s">
        <v>214</v>
      </c>
      <c r="C111" s="65">
        <v>0</v>
      </c>
      <c r="D111" s="65">
        <v>0</v>
      </c>
      <c r="E111" s="22" t="e">
        <f t="shared" si="52"/>
        <v>#DIV/0!</v>
      </c>
      <c r="F111" s="65">
        <v>0</v>
      </c>
      <c r="G111" s="22" t="e">
        <f t="shared" si="53"/>
        <v>#DIV/0!</v>
      </c>
      <c r="H111" s="15"/>
      <c r="I111" s="22"/>
      <c r="J111" s="28">
        <v>0</v>
      </c>
      <c r="K111" s="22" t="e">
        <f t="shared" si="57"/>
        <v>#DIV/0!</v>
      </c>
      <c r="L111" s="22" t="e">
        <f t="shared" si="58"/>
        <v>#DIV/0!</v>
      </c>
      <c r="M111" s="68"/>
      <c r="N111" s="67"/>
      <c r="O111" s="26" t="e">
        <f t="shared" si="59"/>
        <v>#DIV/0!</v>
      </c>
      <c r="P111" s="26"/>
      <c r="Q111" s="67"/>
      <c r="R111" s="26" t="e">
        <f t="shared" si="60"/>
        <v>#DIV/0!</v>
      </c>
      <c r="S111" s="66"/>
    </row>
    <row r="112" spans="1:19" s="62" customFormat="1" ht="28.5">
      <c r="A112" s="56" t="s">
        <v>215</v>
      </c>
      <c r="B112" s="57" t="s">
        <v>216</v>
      </c>
      <c r="C112" s="58">
        <f>SUM(C113:C114)</f>
        <v>90.898840000000007</v>
      </c>
      <c r="D112" s="58">
        <f>SUM(D113:D114)</f>
        <v>100</v>
      </c>
      <c r="E112" s="39">
        <f t="shared" si="52"/>
        <v>110.01240499878766</v>
      </c>
      <c r="F112" s="58">
        <f>SUM(F113:F114)</f>
        <v>89.033659999999998</v>
      </c>
      <c r="G112" s="39">
        <f t="shared" si="53"/>
        <v>97.948070624443602</v>
      </c>
      <c r="H112" s="75"/>
      <c r="I112" s="77"/>
      <c r="J112" s="58">
        <f>SUM(J113:J114)</f>
        <v>100</v>
      </c>
      <c r="K112" s="22">
        <f t="shared" si="57"/>
        <v>100</v>
      </c>
      <c r="L112" s="22">
        <f t="shared" si="58"/>
        <v>112.31707199277217</v>
      </c>
      <c r="M112" s="77"/>
      <c r="N112" s="58">
        <f>SUM(N113:N114)</f>
        <v>100</v>
      </c>
      <c r="O112" s="26">
        <f t="shared" si="59"/>
        <v>100</v>
      </c>
      <c r="P112" s="74"/>
      <c r="Q112" s="58">
        <f>SUM(Q113:Q114)</f>
        <v>100</v>
      </c>
      <c r="R112" s="26">
        <f t="shared" si="60"/>
        <v>100</v>
      </c>
      <c r="S112" s="59"/>
    </row>
    <row r="113" spans="1:19" s="27" customFormat="1" ht="15.75">
      <c r="A113" s="63" t="s">
        <v>217</v>
      </c>
      <c r="B113" s="64" t="s">
        <v>218</v>
      </c>
      <c r="C113" s="65">
        <v>90.898840000000007</v>
      </c>
      <c r="D113" s="65">
        <v>100</v>
      </c>
      <c r="E113" s="22">
        <f t="shared" si="52"/>
        <v>110.01240499878766</v>
      </c>
      <c r="F113" s="65">
        <f>100-10.96634</f>
        <v>89.033659999999998</v>
      </c>
      <c r="G113" s="22">
        <f t="shared" si="53"/>
        <v>97.948070624443602</v>
      </c>
      <c r="H113" s="15"/>
      <c r="I113" s="22"/>
      <c r="J113" s="28">
        <v>100</v>
      </c>
      <c r="K113" s="22">
        <f t="shared" si="57"/>
        <v>100</v>
      </c>
      <c r="L113" s="22">
        <f t="shared" si="58"/>
        <v>112.31707199277217</v>
      </c>
      <c r="M113" s="68"/>
      <c r="N113" s="67">
        <v>100</v>
      </c>
      <c r="O113" s="26">
        <f t="shared" si="59"/>
        <v>100</v>
      </c>
      <c r="P113" s="67"/>
      <c r="Q113" s="67">
        <v>100</v>
      </c>
      <c r="R113" s="26">
        <f t="shared" si="60"/>
        <v>100</v>
      </c>
      <c r="S113" s="66"/>
    </row>
    <row r="114" spans="1:19" s="27" customFormat="1" ht="15.75">
      <c r="A114" s="63" t="s">
        <v>219</v>
      </c>
      <c r="B114" s="64" t="s">
        <v>220</v>
      </c>
      <c r="C114" s="65">
        <v>0</v>
      </c>
      <c r="D114" s="69">
        <v>0</v>
      </c>
      <c r="E114" s="22" t="e">
        <f t="shared" si="52"/>
        <v>#DIV/0!</v>
      </c>
      <c r="F114" s="69">
        <v>0</v>
      </c>
      <c r="G114" s="22" t="e">
        <f t="shared" si="53"/>
        <v>#DIV/0!</v>
      </c>
      <c r="H114" s="15"/>
      <c r="I114" s="22"/>
      <c r="J114" s="28">
        <v>0</v>
      </c>
      <c r="K114" s="22" t="e">
        <f t="shared" si="57"/>
        <v>#DIV/0!</v>
      </c>
      <c r="L114" s="22" t="e">
        <f t="shared" si="58"/>
        <v>#DIV/0!</v>
      </c>
      <c r="M114" s="30"/>
      <c r="N114" s="67"/>
      <c r="O114" s="26" t="e">
        <f t="shared" si="59"/>
        <v>#DIV/0!</v>
      </c>
      <c r="P114" s="67"/>
      <c r="Q114" s="67"/>
      <c r="R114" s="26" t="e">
        <f t="shared" si="60"/>
        <v>#DIV/0!</v>
      </c>
      <c r="S114" s="66"/>
    </row>
    <row r="115" spans="1:19" s="62" customFormat="1" ht="42.75">
      <c r="A115" s="56" t="s">
        <v>221</v>
      </c>
      <c r="B115" s="57" t="s">
        <v>222</v>
      </c>
      <c r="C115" s="58">
        <f>SUM(C116:C118)</f>
        <v>4493.8</v>
      </c>
      <c r="D115" s="58">
        <f>SUM(D116:D118)</f>
        <v>4217.085</v>
      </c>
      <c r="E115" s="39">
        <f t="shared" si="52"/>
        <v>93.842293827050611</v>
      </c>
      <c r="F115" s="58">
        <f>SUM(F116:F118)</f>
        <v>4317.085</v>
      </c>
      <c r="G115" s="39">
        <f t="shared" si="53"/>
        <v>96.067582001869241</v>
      </c>
      <c r="H115" s="75"/>
      <c r="I115" s="77"/>
      <c r="J115" s="58">
        <f>SUM(J116:J118)</f>
        <v>5931</v>
      </c>
      <c r="K115" s="22">
        <f t="shared" si="57"/>
        <v>140.64217344445274</v>
      </c>
      <c r="L115" s="22">
        <f t="shared" si="58"/>
        <v>137.38436931401628</v>
      </c>
      <c r="M115" s="76"/>
      <c r="N115" s="58">
        <f>SUM(N116:N118)</f>
        <v>6001.7000000000007</v>
      </c>
      <c r="O115" s="26">
        <f t="shared" si="59"/>
        <v>101.19204181419661</v>
      </c>
      <c r="P115" s="74"/>
      <c r="Q115" s="58">
        <f>SUM(Q116:Q118)</f>
        <v>8195</v>
      </c>
      <c r="R115" s="26">
        <f t="shared" si="60"/>
        <v>136.54464568372293</v>
      </c>
      <c r="S115" s="59"/>
    </row>
    <row r="116" spans="1:19" s="27" customFormat="1" ht="30">
      <c r="A116" s="63" t="s">
        <v>223</v>
      </c>
      <c r="B116" s="64" t="s">
        <v>224</v>
      </c>
      <c r="C116" s="65">
        <v>4.7</v>
      </c>
      <c r="D116" s="65">
        <v>122</v>
      </c>
      <c r="E116" s="22">
        <f t="shared" si="52"/>
        <v>2595.744680851064</v>
      </c>
      <c r="F116" s="65">
        <v>122</v>
      </c>
      <c r="G116" s="22">
        <f t="shared" si="53"/>
        <v>2595.744680851064</v>
      </c>
      <c r="H116" s="15"/>
      <c r="I116" s="66"/>
      <c r="J116" s="28">
        <v>105</v>
      </c>
      <c r="K116" s="22">
        <f t="shared" si="57"/>
        <v>86.065573770491795</v>
      </c>
      <c r="L116" s="22">
        <f t="shared" si="58"/>
        <v>86.065573770491795</v>
      </c>
      <c r="M116" s="30"/>
      <c r="N116" s="67">
        <v>85.6</v>
      </c>
      <c r="O116" s="26">
        <f t="shared" si="59"/>
        <v>81.523809523809518</v>
      </c>
      <c r="P116" s="67"/>
      <c r="Q116" s="67">
        <v>1544.4</v>
      </c>
      <c r="R116" s="26">
        <f t="shared" si="60"/>
        <v>1804.2056074766358</v>
      </c>
      <c r="S116" s="66"/>
    </row>
    <row r="117" spans="1:19" s="27" customFormat="1" ht="15.75">
      <c r="A117" s="63" t="s">
        <v>225</v>
      </c>
      <c r="B117" s="64" t="s">
        <v>226</v>
      </c>
      <c r="C117" s="65">
        <v>0</v>
      </c>
      <c r="D117" s="69">
        <v>0</v>
      </c>
      <c r="E117" s="22" t="e">
        <f t="shared" si="52"/>
        <v>#DIV/0!</v>
      </c>
      <c r="F117" s="69">
        <v>0</v>
      </c>
      <c r="G117" s="22" t="e">
        <f t="shared" si="53"/>
        <v>#DIV/0!</v>
      </c>
      <c r="H117" s="15"/>
      <c r="I117" s="66"/>
      <c r="J117" s="28"/>
      <c r="K117" s="22" t="e">
        <f t="shared" si="57"/>
        <v>#DIV/0!</v>
      </c>
      <c r="L117" s="22" t="e">
        <f t="shared" si="58"/>
        <v>#DIV/0!</v>
      </c>
      <c r="M117" s="30"/>
      <c r="N117" s="67"/>
      <c r="O117" s="26" t="e">
        <f t="shared" si="59"/>
        <v>#DIV/0!</v>
      </c>
      <c r="P117" s="67"/>
      <c r="Q117" s="67"/>
      <c r="R117" s="26" t="e">
        <f t="shared" si="60"/>
        <v>#DIV/0!</v>
      </c>
      <c r="S117" s="66"/>
    </row>
    <row r="118" spans="1:19" s="27" customFormat="1" ht="15.75">
      <c r="A118" s="63" t="s">
        <v>227</v>
      </c>
      <c r="B118" s="64" t="s">
        <v>228</v>
      </c>
      <c r="C118" s="65">
        <v>4489.1000000000004</v>
      </c>
      <c r="D118" s="65">
        <v>4095.085</v>
      </c>
      <c r="E118" s="22">
        <f t="shared" si="52"/>
        <v>91.222850905526712</v>
      </c>
      <c r="F118" s="65">
        <f>4095.085+100</f>
        <v>4195.085</v>
      </c>
      <c r="G118" s="22">
        <f t="shared" si="53"/>
        <v>93.450468913590683</v>
      </c>
      <c r="H118" s="15"/>
      <c r="I118" s="66"/>
      <c r="J118" s="28">
        <v>5826</v>
      </c>
      <c r="K118" s="22">
        <f t="shared" si="57"/>
        <v>142.26810920896637</v>
      </c>
      <c r="L118" s="22">
        <f t="shared" si="58"/>
        <v>138.8768046416223</v>
      </c>
      <c r="M118" s="68"/>
      <c r="N118" s="67">
        <v>5916.1</v>
      </c>
      <c r="O118" s="26">
        <f t="shared" si="59"/>
        <v>101.54651561963612</v>
      </c>
      <c r="P118" s="28"/>
      <c r="Q118" s="67">
        <v>6650.6</v>
      </c>
      <c r="R118" s="26">
        <f t="shared" si="60"/>
        <v>112.41527357549737</v>
      </c>
      <c r="S118" s="66"/>
    </row>
    <row r="119" spans="1:19" s="27" customFormat="1">
      <c r="A119" s="81"/>
      <c r="B119" s="82"/>
      <c r="C119" s="82"/>
    </row>
    <row r="120" spans="1:19" s="27" customFormat="1" ht="45">
      <c r="A120" s="81"/>
      <c r="B120" s="83" t="s">
        <v>235</v>
      </c>
      <c r="C120" s="82"/>
      <c r="D120" s="84"/>
      <c r="J120" s="84"/>
      <c r="N120" s="84"/>
      <c r="Q120" s="84"/>
    </row>
    <row r="121" spans="1:19">
      <c r="C121" s="85">
        <f>SUM(C30,C41,C45,C51,C62,C68,C72,C82,C97,C103,C108,C112,C115)</f>
        <v>576494.98086000001</v>
      </c>
      <c r="D121" s="85">
        <f>SUM(D30,D41,D45,D51,D62,D68,D72,D82,D97,D103,D108,D112,D115)</f>
        <v>487478.35819</v>
      </c>
      <c r="F121" s="85">
        <f>SUM(F30,F41,F45,F51,F62,F68,F72,F82,F97,F103,F108,F112,F115)</f>
        <v>530866.8844199999</v>
      </c>
      <c r="J121" s="85">
        <f>SUM(J30,J41,J45,J51,J62,J68,J72,J82,J97,J103,J108,J112,J115)</f>
        <v>420130.80000000005</v>
      </c>
      <c r="K121" s="85"/>
      <c r="N121" s="85">
        <f>SUM(N30,N41,N45,N51,N62,N68,N72,N82,N97,N103,N108,N112,N115)</f>
        <v>381940.3</v>
      </c>
      <c r="Q121" s="85">
        <f>SUM(Q30,Q41,Q45,Q51,Q62,Q68,Q72,Q82,Q97,Q103,Q108,Q112,Q115)</f>
        <v>404309.60000000003</v>
      </c>
    </row>
    <row r="122" spans="1:19">
      <c r="J122" s="86"/>
      <c r="N122" s="86"/>
      <c r="Q122" s="86"/>
    </row>
    <row r="124" spans="1:19">
      <c r="J124" s="86"/>
      <c r="N124" s="86"/>
      <c r="Q124" s="86"/>
    </row>
    <row r="126" spans="1:19">
      <c r="J126" s="86"/>
      <c r="K126" s="86"/>
      <c r="L126" s="86"/>
      <c r="M126" s="86"/>
      <c r="N126" s="86"/>
      <c r="O126" s="86"/>
      <c r="P126" s="86"/>
      <c r="Q126" s="86"/>
      <c r="R126" s="86"/>
    </row>
    <row r="127" spans="1:19">
      <c r="J127" s="87"/>
      <c r="K127" s="87"/>
      <c r="L127" s="87"/>
      <c r="M127" s="87"/>
      <c r="N127" s="87"/>
      <c r="O127" s="87"/>
      <c r="P127" s="87"/>
      <c r="Q127" s="87"/>
      <c r="R127" s="87"/>
      <c r="S127" s="87"/>
    </row>
    <row r="129" spans="10:18">
      <c r="J129" s="86"/>
      <c r="N129" s="86"/>
      <c r="Q129" s="86"/>
    </row>
    <row r="130" spans="10:18">
      <c r="J130" s="86"/>
      <c r="K130" s="86"/>
      <c r="L130" s="86"/>
      <c r="M130" s="86"/>
      <c r="N130" s="86"/>
      <c r="O130" s="86"/>
      <c r="P130" s="86"/>
      <c r="Q130" s="86"/>
      <c r="R130" s="86"/>
    </row>
  </sheetData>
  <mergeCells count="2">
    <mergeCell ref="B1:R1"/>
    <mergeCell ref="D2:E2"/>
  </mergeCells>
  <pageMargins left="0.23622047244094491" right="0.23622047244094491" top="0.35433070866141736" bottom="0.15748031496062992" header="0.51181102362204722" footer="0.51181102362204722"/>
  <pageSetup paperSize="9" scale="50" firstPageNumber="0" orientation="landscape" horizontalDpi="300" verticalDpi="3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Форма № 2 Расходы</vt:lpstr>
      <vt:lpstr>'Форма № 2 Расходы'!_ФильтрБазыДанных</vt:lpstr>
      <vt:lpstr>'Форма № 2 Расходы'!Заголовки_для_печати</vt:lpstr>
      <vt:lpstr>'Форма № 2 Расходы'!Область_печати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ФИРСОВА ЛЮДМИЛА ВЛАДИМИРОВНА</dc:creator>
  <dc:description/>
  <cp:lastModifiedBy>Рузаева</cp:lastModifiedBy>
  <cp:revision>1</cp:revision>
  <cp:lastPrinted>2024-10-31T09:31:16Z</cp:lastPrinted>
  <dcterms:created xsi:type="dcterms:W3CDTF">2017-08-31T14:26:51Z</dcterms:created>
  <dcterms:modified xsi:type="dcterms:W3CDTF">2024-11-13T13:29:19Z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